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9.xml" ContentType="application/vnd.openxmlformats-officedocument.spreadsheetml.table+xml"/>
  <Override PartName="/xl/comments3.xml" ContentType="application/vnd.openxmlformats-officedocument.spreadsheetml.comments+xml"/>
  <Override PartName="/xl/tables/table10.xml" ContentType="application/vnd.openxmlformats-officedocument.spreadsheetml.table+xml"/>
  <Override PartName="/xl/comments4.xml" ContentType="application/vnd.openxmlformats-officedocument.spreadsheetml.comments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utoronto-my.sharepoint.com/personal/cheryl_nash_utoronto_ca/Documents/Documents/Working docs/"/>
    </mc:Choice>
  </mc:AlternateContent>
  <xr:revisionPtr revIDLastSave="367" documentId="8_{825C472C-91B9-4FA7-B901-23DEB52EBD88}" xr6:coauthVersionLast="47" xr6:coauthVersionMax="47" xr10:uidLastSave="{51984DE7-35E9-441A-8982-AA8AC71CC2C0}"/>
  <bookViews>
    <workbookView xWindow="-120" yWindow="-120" windowWidth="29040" windowHeight="15840" xr2:uid="{00000000-000D-0000-FFFF-FFFF00000000}"/>
  </bookViews>
  <sheets>
    <sheet name="Final Analysis" sheetId="9" r:id="rId1"/>
    <sheet name="Final Table 2022-2023" sheetId="42" r:id="rId2"/>
    <sheet name="REF-PT-2021-2022" sheetId="40" state="hidden" r:id="rId3"/>
    <sheet name="Final Table 2021-2022" sheetId="41" r:id="rId4"/>
    <sheet name="Final Table 2020-2021" sheetId="39" r:id="rId5"/>
    <sheet name="Analysis - 2020-2021(Final)" sheetId="25" state="hidden" r:id="rId6"/>
    <sheet name="REF- MbD Sheet" sheetId="26" state="hidden" r:id="rId7"/>
    <sheet name="REF- MbD Summary(jan2022)" sheetId="24" state="hidden" r:id="rId8"/>
    <sheet name="REF-PT-2020-2021(Final)" sheetId="27" state="hidden" r:id="rId9"/>
    <sheet name="Analysis (Projection) 2020-2021" sheetId="20" state="hidden" r:id="rId10"/>
    <sheet name="Final Projection Table(2020-21)" sheetId="22" state="hidden" r:id="rId11"/>
    <sheet name="REF-Comparison -2019-2020" sheetId="6" state="hidden" r:id="rId12"/>
    <sheet name="Final Table- 2019-2020" sheetId="14" r:id="rId13"/>
    <sheet name="Final Table- 2018-2019" sheetId="18" r:id="rId14"/>
    <sheet name="Final Table - 2017-2018" sheetId="19" r:id="rId15"/>
    <sheet name="Analysis - 2019-2020" sheetId="4" state="hidden" r:id="rId16"/>
    <sheet name="REF- from FA 2018-19" sheetId="3" state="hidden" r:id="rId17"/>
    <sheet name="REF- final tables" sheetId="2" state="hidden" r:id="rId18"/>
    <sheet name="REF-PT Working Note" sheetId="8" state="hidden" r:id="rId19"/>
    <sheet name="REF- MbD-Summary" sheetId="5" state="hidden" r:id="rId20"/>
  </sheets>
  <definedNames>
    <definedName name="_xlnm._FilterDatabase" localSheetId="19" hidden="1">'REF- MbD-Summary'!$A$1:$BK$339</definedName>
    <definedName name="_xlnm._FilterDatabase" localSheetId="1" hidden="1">'Final Table 2022-2023'!$A$1:$J$1</definedName>
  </definedNames>
  <calcPr calcId="191028"/>
  <pivotCaches>
    <pivotCache cacheId="5002" r:id="rId21"/>
    <pivotCache cacheId="5003" r:id="rId22"/>
    <pivotCache cacheId="5004" r:id="rId23"/>
    <pivotCache cacheId="5005" r:id="rId24"/>
    <pivotCache cacheId="5006" r:id="rId25"/>
    <pivotCache cacheId="5007" r:id="rId26"/>
    <pivotCache cacheId="5008" r:id="rId2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9" l="1"/>
  <c r="D63" i="9"/>
  <c r="D46" i="9"/>
  <c r="D29" i="9"/>
  <c r="D8" i="9"/>
  <c r="D7" i="9"/>
  <c r="D6" i="9"/>
  <c r="D5" i="9"/>
  <c r="D4" i="9"/>
  <c r="E9" i="9"/>
  <c r="D61" i="9"/>
  <c r="D43" i="9"/>
  <c r="J36" i="42"/>
  <c r="J35" i="42"/>
  <c r="J61" i="42"/>
  <c r="J60" i="42"/>
  <c r="J59" i="42"/>
  <c r="J58" i="42"/>
  <c r="J57" i="42"/>
  <c r="J56" i="42"/>
  <c r="J55" i="42"/>
  <c r="J54" i="42"/>
  <c r="J51" i="42"/>
  <c r="J53" i="42"/>
  <c r="J5" i="42"/>
  <c r="J31" i="42"/>
  <c r="J30" i="42"/>
  <c r="J34" i="42"/>
  <c r="J33" i="42"/>
  <c r="J32" i="42"/>
  <c r="J8" i="42"/>
  <c r="J43" i="42"/>
  <c r="J52" i="42"/>
  <c r="J50" i="42"/>
  <c r="J2" i="42"/>
  <c r="J49" i="42"/>
  <c r="J48" i="42"/>
  <c r="J47" i="42"/>
  <c r="J46" i="42"/>
  <c r="J45" i="42"/>
  <c r="J44" i="42"/>
  <c r="J42" i="42"/>
  <c r="J29" i="42"/>
  <c r="J41" i="42"/>
  <c r="J40" i="42"/>
  <c r="J39" i="42"/>
  <c r="J38" i="42"/>
  <c r="J37" i="42"/>
  <c r="J16" i="42"/>
  <c r="J9" i="42"/>
  <c r="J7" i="42"/>
  <c r="J6" i="42"/>
  <c r="J4" i="42"/>
  <c r="J21" i="42"/>
  <c r="J20" i="42"/>
  <c r="J19" i="42"/>
  <c r="J18" i="42"/>
  <c r="J17" i="42"/>
  <c r="J15" i="42"/>
  <c r="J14" i="42"/>
  <c r="J13" i="42"/>
  <c r="J12" i="42"/>
  <c r="J11" i="42"/>
  <c r="J10" i="42"/>
  <c r="J28" i="42"/>
  <c r="J27" i="42"/>
  <c r="J26" i="42"/>
  <c r="J25" i="42"/>
  <c r="J24" i="42"/>
  <c r="J23" i="42"/>
  <c r="J22" i="42"/>
  <c r="J3" i="42"/>
  <c r="D39" i="9"/>
  <c r="D21" i="9"/>
  <c r="E29" i="9"/>
  <c r="J169" i="41"/>
  <c r="J168" i="41"/>
  <c r="I166" i="41"/>
  <c r="K3" i="40"/>
  <c r="K10" i="40"/>
  <c r="D23" i="9" s="1"/>
  <c r="K11" i="40"/>
  <c r="D20" i="9" s="1"/>
  <c r="K12" i="40"/>
  <c r="K13" i="40"/>
  <c r="K4" i="40"/>
  <c r="D22" i="9" s="1"/>
  <c r="K5" i="40"/>
  <c r="D26" i="9" s="1"/>
  <c r="K6" i="40"/>
  <c r="D28" i="9" s="1"/>
  <c r="K7" i="40"/>
  <c r="D24" i="9" s="1"/>
  <c r="K8" i="40"/>
  <c r="D25" i="9" s="1"/>
  <c r="K9" i="40"/>
  <c r="D27" i="9" s="1"/>
  <c r="J166" i="41"/>
  <c r="D45" i="9"/>
  <c r="D44" i="9"/>
  <c r="D42" i="9"/>
  <c r="D41" i="9"/>
  <c r="D40" i="9"/>
  <c r="C9" i="25"/>
  <c r="C18" i="25"/>
  <c r="C19" i="25"/>
  <c r="C20" i="25"/>
  <c r="C21" i="25"/>
  <c r="C15" i="25"/>
  <c r="C24" i="25"/>
  <c r="C25" i="25"/>
  <c r="C28" i="25"/>
  <c r="C29" i="25"/>
  <c r="C30" i="25"/>
  <c r="C27" i="25"/>
  <c r="C26" i="25"/>
  <c r="C16" i="25"/>
  <c r="C17" i="25"/>
  <c r="C13" i="25"/>
  <c r="C14" i="25"/>
  <c r="C10" i="25"/>
  <c r="C11" i="25"/>
  <c r="C12" i="25"/>
  <c r="C2" i="25"/>
  <c r="C111" i="25"/>
  <c r="C110" i="25"/>
  <c r="C115" i="25"/>
  <c r="C114" i="25"/>
  <c r="C116" i="25"/>
  <c r="C119" i="25"/>
  <c r="C123" i="25"/>
  <c r="C122" i="25"/>
  <c r="C108" i="25"/>
  <c r="C118" i="25"/>
  <c r="C127" i="25"/>
  <c r="C52" i="25"/>
  <c r="C54" i="25"/>
  <c r="C92" i="25"/>
  <c r="C107" i="25"/>
  <c r="C96" i="25"/>
  <c r="C94" i="25"/>
  <c r="C120" i="25"/>
  <c r="C98" i="25"/>
  <c r="C126" i="25"/>
  <c r="C125" i="25"/>
  <c r="C124" i="25"/>
  <c r="C112" i="25"/>
  <c r="C129" i="25"/>
  <c r="C128" i="25"/>
  <c r="C4" i="25"/>
  <c r="C132" i="25"/>
  <c r="C131" i="25"/>
  <c r="C130" i="25"/>
  <c r="C5" i="25"/>
  <c r="C7" i="25"/>
  <c r="C121" i="25"/>
  <c r="C6" i="25"/>
  <c r="C8" i="25"/>
  <c r="C133" i="25"/>
  <c r="C113" i="25"/>
  <c r="C34" i="25"/>
  <c r="C32" i="25"/>
  <c r="C31" i="25"/>
  <c r="C37" i="25"/>
  <c r="C33" i="25"/>
  <c r="C35" i="25"/>
  <c r="C38" i="25"/>
  <c r="C36" i="25"/>
  <c r="C65" i="25"/>
  <c r="C67" i="25"/>
  <c r="C68" i="25"/>
  <c r="C66" i="25"/>
  <c r="C69" i="25"/>
  <c r="C71" i="25"/>
  <c r="C72" i="25"/>
  <c r="C70" i="25"/>
  <c r="C74" i="25"/>
  <c r="C73" i="25"/>
  <c r="C76" i="25"/>
  <c r="C75" i="25"/>
  <c r="C57" i="25"/>
  <c r="C59" i="25"/>
  <c r="C61" i="25"/>
  <c r="C58" i="25"/>
  <c r="C60" i="25"/>
  <c r="C50" i="25"/>
  <c r="C49" i="25"/>
  <c r="C53" i="25"/>
  <c r="C56" i="25"/>
  <c r="C48" i="25"/>
  <c r="C51" i="25"/>
  <c r="C55" i="25"/>
  <c r="C91" i="25"/>
  <c r="C95" i="25"/>
  <c r="C97" i="25"/>
  <c r="C93" i="25"/>
  <c r="C99" i="25"/>
  <c r="C41" i="25"/>
  <c r="C39" i="25"/>
  <c r="C42" i="25"/>
  <c r="C43" i="25"/>
  <c r="C46" i="25"/>
  <c r="C40" i="25"/>
  <c r="C44" i="25"/>
  <c r="C45" i="25"/>
  <c r="C47" i="25"/>
  <c r="C62" i="25"/>
  <c r="C64" i="25"/>
  <c r="C63" i="25"/>
  <c r="C84" i="25"/>
  <c r="C77" i="25"/>
  <c r="C82" i="25"/>
  <c r="C81" i="25"/>
  <c r="C83" i="25"/>
  <c r="C80" i="25"/>
  <c r="C109" i="25"/>
  <c r="C105" i="25"/>
  <c r="C102" i="25"/>
  <c r="C100" i="25"/>
  <c r="C103" i="25"/>
  <c r="C104" i="25"/>
  <c r="C106" i="25"/>
  <c r="C101" i="25"/>
  <c r="C88" i="25"/>
  <c r="C89" i="25"/>
  <c r="C86" i="25"/>
  <c r="C87" i="25"/>
  <c r="C90" i="25"/>
  <c r="C78" i="25"/>
  <c r="C23" i="25"/>
  <c r="C22" i="25"/>
  <c r="C135" i="25"/>
  <c r="C134" i="25"/>
  <c r="C136" i="25"/>
  <c r="C137" i="25"/>
  <c r="C3" i="25"/>
  <c r="C138" i="25"/>
  <c r="C85" i="25"/>
  <c r="C139" i="25"/>
  <c r="C140" i="25"/>
  <c r="C79" i="25"/>
  <c r="C117" i="25"/>
  <c r="G12" i="27"/>
  <c r="G4" i="27"/>
  <c r="G5" i="27"/>
  <c r="G6" i="27"/>
  <c r="G7" i="27"/>
  <c r="G8" i="27"/>
  <c r="G9" i="27"/>
  <c r="G10" i="27"/>
  <c r="G11" i="27"/>
  <c r="B16" i="27"/>
  <c r="E43" i="9"/>
  <c r="E44" i="9"/>
  <c r="E39" i="9"/>
  <c r="E42" i="9"/>
  <c r="E45" i="9"/>
  <c r="E41" i="9"/>
  <c r="E46" i="9" l="1"/>
  <c r="E99" i="9"/>
  <c r="D99" i="9"/>
  <c r="E81" i="9"/>
  <c r="D81" i="9"/>
  <c r="I190" i="19"/>
  <c r="H190" i="19"/>
  <c r="B34" i="8"/>
  <c r="B15" i="8"/>
  <c r="E60" i="9"/>
  <c r="AT11" i="5" l="1"/>
  <c r="AS11" i="5"/>
  <c r="BH11" i="5" s="1"/>
  <c r="AJ11" i="5"/>
  <c r="AK11" i="5" s="1"/>
  <c r="Z11" i="5"/>
  <c r="AA11" i="5" s="1"/>
  <c r="Q11" i="5"/>
  <c r="BH10" i="5"/>
  <c r="BI10" i="5" s="1"/>
  <c r="AT10" i="5"/>
  <c r="AU10" i="5" s="1"/>
  <c r="AJ10" i="5"/>
  <c r="AK10" i="5" s="1"/>
  <c r="Z10" i="5"/>
  <c r="AA10" i="5" s="1"/>
  <c r="BH9" i="5"/>
  <c r="BI9" i="5" s="1"/>
  <c r="AT9" i="5"/>
  <c r="AU9" i="5" s="1"/>
  <c r="AJ9" i="5"/>
  <c r="AK9" i="5" s="1"/>
  <c r="Z9" i="5"/>
  <c r="AA9" i="5" s="1"/>
  <c r="AT55" i="5"/>
  <c r="AS55" i="5"/>
  <c r="AJ55" i="5"/>
  <c r="AK55" i="5" s="1"/>
  <c r="S55" i="5"/>
  <c r="Q55" i="5"/>
  <c r="BH339" i="5"/>
  <c r="BI339" i="5" s="1"/>
  <c r="AT339" i="5"/>
  <c r="AU339" i="5" s="1"/>
  <c r="AJ339" i="5"/>
  <c r="AK339" i="5" s="1"/>
  <c r="Z339" i="5"/>
  <c r="AA339" i="5" s="1"/>
  <c r="AT299" i="5"/>
  <c r="AU299" i="5" s="1"/>
  <c r="AJ299" i="5"/>
  <c r="AK299" i="5" s="1"/>
  <c r="Z299" i="5"/>
  <c r="Y299" i="5"/>
  <c r="BH299" i="5" s="1"/>
  <c r="BI299" i="5" s="1"/>
  <c r="AT52" i="5"/>
  <c r="AS52" i="5"/>
  <c r="BH52" i="5" s="1"/>
  <c r="BI52" i="5" s="1"/>
  <c r="AJ52" i="5"/>
  <c r="AK52" i="5" s="1"/>
  <c r="Z52" i="5"/>
  <c r="AA52" i="5" s="1"/>
  <c r="BH34" i="5"/>
  <c r="BI34" i="5" s="1"/>
  <c r="AT34" i="5"/>
  <c r="AU34" i="5" s="1"/>
  <c r="AJ34" i="5"/>
  <c r="AK34" i="5" s="1"/>
  <c r="Z34" i="5"/>
  <c r="AA34" i="5" s="1"/>
  <c r="BH260" i="5"/>
  <c r="BI260" i="5" s="1"/>
  <c r="AT260" i="5"/>
  <c r="AU260" i="5" s="1"/>
  <c r="AJ260" i="5"/>
  <c r="AK260" i="5" s="1"/>
  <c r="Z260" i="5"/>
  <c r="AA260" i="5" s="1"/>
  <c r="BH158" i="5"/>
  <c r="BI158" i="5" s="1"/>
  <c r="AT158" i="5"/>
  <c r="AU158" i="5" s="1"/>
  <c r="AJ158" i="5"/>
  <c r="AK158" i="5" s="1"/>
  <c r="Z158" i="5"/>
  <c r="AA158" i="5" s="1"/>
  <c r="BH31" i="5"/>
  <c r="BI31" i="5" s="1"/>
  <c r="AT31" i="5"/>
  <c r="AU31" i="5" s="1"/>
  <c r="AJ31" i="5"/>
  <c r="AK31" i="5" s="1"/>
  <c r="Z31" i="5"/>
  <c r="AA31" i="5" s="1"/>
  <c r="BB27" i="5"/>
  <c r="BH27" i="5" s="1"/>
  <c r="BI27" i="5" s="1"/>
  <c r="AT27" i="5"/>
  <c r="AU27" i="5" s="1"/>
  <c r="AJ27" i="5"/>
  <c r="AK27" i="5" s="1"/>
  <c r="Z27" i="5"/>
  <c r="AA27" i="5" s="1"/>
  <c r="AT246" i="5"/>
  <c r="AS246" i="5"/>
  <c r="AJ246" i="5"/>
  <c r="AK246" i="5" s="1"/>
  <c r="Z246" i="5"/>
  <c r="AA246" i="5" s="1"/>
  <c r="Q246" i="5"/>
  <c r="BH102" i="5"/>
  <c r="BI102" i="5" s="1"/>
  <c r="AT102" i="5"/>
  <c r="AU102" i="5" s="1"/>
  <c r="AJ102" i="5"/>
  <c r="AK102" i="5" s="1"/>
  <c r="Z102" i="5"/>
  <c r="AA102" i="5" s="1"/>
  <c r="BH147" i="5"/>
  <c r="BI147" i="5" s="1"/>
  <c r="AT147" i="5"/>
  <c r="AU147" i="5" s="1"/>
  <c r="AJ147" i="5"/>
  <c r="AK147" i="5" s="1"/>
  <c r="Z147" i="5"/>
  <c r="AA147" i="5" s="1"/>
  <c r="AT69" i="5"/>
  <c r="AS69" i="5"/>
  <c r="BH69" i="5" s="1"/>
  <c r="AJ69" i="5"/>
  <c r="AK69" i="5" s="1"/>
  <c r="W69" i="5"/>
  <c r="U69" i="5"/>
  <c r="S69" i="5"/>
  <c r="Q69" i="5"/>
  <c r="BH201" i="5"/>
  <c r="BI201" i="5" s="1"/>
  <c r="AT201" i="5"/>
  <c r="AU201" i="5" s="1"/>
  <c r="AJ201" i="5"/>
  <c r="AK201" i="5" s="1"/>
  <c r="Z201" i="5"/>
  <c r="AA201" i="5" s="1"/>
  <c r="AT319" i="5"/>
  <c r="AU319" i="5" s="1"/>
  <c r="AJ319" i="5"/>
  <c r="AK319" i="5" s="1"/>
  <c r="Z319" i="5"/>
  <c r="Y319" i="5"/>
  <c r="BH319" i="5" s="1"/>
  <c r="BI319" i="5" s="1"/>
  <c r="AT181" i="5"/>
  <c r="AS181" i="5"/>
  <c r="AJ181" i="5"/>
  <c r="AK181" i="5" s="1"/>
  <c r="Z181" i="5"/>
  <c r="AA181" i="5" s="1"/>
  <c r="BH178" i="5"/>
  <c r="BI178" i="5" s="1"/>
  <c r="AT178" i="5"/>
  <c r="AU178" i="5" s="1"/>
  <c r="AJ178" i="5"/>
  <c r="AK178" i="5" s="1"/>
  <c r="Z178" i="5"/>
  <c r="AA178" i="5" s="1"/>
  <c r="AT78" i="5"/>
  <c r="AS78" i="5"/>
  <c r="BH78" i="5" s="1"/>
  <c r="BI78" i="5" s="1"/>
  <c r="AJ78" i="5"/>
  <c r="AK78" i="5" s="1"/>
  <c r="Z78" i="5"/>
  <c r="AA78" i="5" s="1"/>
  <c r="BH142" i="5"/>
  <c r="BI142" i="5" s="1"/>
  <c r="AT142" i="5"/>
  <c r="AU142" i="5" s="1"/>
  <c r="AJ142" i="5"/>
  <c r="AK142" i="5" s="1"/>
  <c r="Z142" i="5"/>
  <c r="AA142" i="5" s="1"/>
  <c r="BH16" i="5"/>
  <c r="BI16" i="5" s="1"/>
  <c r="AT16" i="5"/>
  <c r="AU16" i="5" s="1"/>
  <c r="AJ16" i="5"/>
  <c r="AK16" i="5" s="1"/>
  <c r="Z16" i="5"/>
  <c r="AA16" i="5" s="1"/>
  <c r="BH13" i="5"/>
  <c r="BI13" i="5" s="1"/>
  <c r="AT13" i="5"/>
  <c r="AU13" i="5" s="1"/>
  <c r="AJ13" i="5"/>
  <c r="AK13" i="5" s="1"/>
  <c r="Z13" i="5"/>
  <c r="AA13" i="5" s="1"/>
  <c r="BH202" i="5"/>
  <c r="BI202" i="5" s="1"/>
  <c r="AT202" i="5"/>
  <c r="AU202" i="5" s="1"/>
  <c r="AJ202" i="5"/>
  <c r="AK202" i="5" s="1"/>
  <c r="Z202" i="5"/>
  <c r="AA202" i="5" s="1"/>
  <c r="BH74" i="5"/>
  <c r="BI74" i="5" s="1"/>
  <c r="AT74" i="5"/>
  <c r="AU74" i="5" s="1"/>
  <c r="AJ74" i="5"/>
  <c r="AK74" i="5" s="1"/>
  <c r="Z74" i="5"/>
  <c r="AA74" i="5" s="1"/>
  <c r="BH242" i="5"/>
  <c r="BI242" i="5" s="1"/>
  <c r="AT242" i="5"/>
  <c r="AU242" i="5" s="1"/>
  <c r="AJ242" i="5"/>
  <c r="AK242" i="5" s="1"/>
  <c r="Z242" i="5"/>
  <c r="AA242" i="5" s="1"/>
  <c r="AT200" i="5"/>
  <c r="AS200" i="5"/>
  <c r="BH200" i="5" s="1"/>
  <c r="AJ200" i="5"/>
  <c r="AK200" i="5" s="1"/>
  <c r="Z200" i="5"/>
  <c r="AA200" i="5" s="1"/>
  <c r="Q200" i="5"/>
  <c r="AT199" i="5"/>
  <c r="AS199" i="5"/>
  <c r="BH199" i="5" s="1"/>
  <c r="BI199" i="5" s="1"/>
  <c r="AJ199" i="5"/>
  <c r="AK199" i="5" s="1"/>
  <c r="Z199" i="5"/>
  <c r="AA199" i="5" s="1"/>
  <c r="BH244" i="5"/>
  <c r="BI244" i="5" s="1"/>
  <c r="AT244" i="5"/>
  <c r="AU244" i="5" s="1"/>
  <c r="AJ244" i="5"/>
  <c r="AK244" i="5" s="1"/>
  <c r="Z244" i="5"/>
  <c r="AA244" i="5" s="1"/>
  <c r="BH278" i="5"/>
  <c r="BI278" i="5" s="1"/>
  <c r="AT278" i="5"/>
  <c r="AU278" i="5" s="1"/>
  <c r="AJ278" i="5"/>
  <c r="AK278" i="5" s="1"/>
  <c r="Z278" i="5"/>
  <c r="AA278" i="5" s="1"/>
  <c r="AT44" i="5"/>
  <c r="AS44" i="5"/>
  <c r="BH44" i="5" s="1"/>
  <c r="AJ44" i="5"/>
  <c r="AK44" i="5" s="1"/>
  <c r="Z44" i="5"/>
  <c r="AA44" i="5" s="1"/>
  <c r="Q44" i="5"/>
  <c r="BH168" i="5"/>
  <c r="BI168" i="5" s="1"/>
  <c r="AT168" i="5"/>
  <c r="AU168" i="5" s="1"/>
  <c r="AJ168" i="5"/>
  <c r="AK168" i="5" s="1"/>
  <c r="Z168" i="5"/>
  <c r="AA168" i="5" s="1"/>
  <c r="BH108" i="5"/>
  <c r="BI108" i="5" s="1"/>
  <c r="AT108" i="5"/>
  <c r="AU108" i="5" s="1"/>
  <c r="AJ108" i="5"/>
  <c r="AK108" i="5" s="1"/>
  <c r="Z108" i="5"/>
  <c r="AA108" i="5" s="1"/>
  <c r="BH41" i="5"/>
  <c r="BI41" i="5" s="1"/>
  <c r="AT41" i="5"/>
  <c r="AU41" i="5" s="1"/>
  <c r="AJ41" i="5"/>
  <c r="AK41" i="5" s="1"/>
  <c r="Z41" i="5"/>
  <c r="AA41" i="5" s="1"/>
  <c r="BH95" i="5"/>
  <c r="BI95" i="5" s="1"/>
  <c r="AT95" i="5"/>
  <c r="AU95" i="5" s="1"/>
  <c r="AJ95" i="5"/>
  <c r="AK95" i="5" s="1"/>
  <c r="Z95" i="5"/>
  <c r="AA95" i="5" s="1"/>
  <c r="BH39" i="5"/>
  <c r="BI39" i="5" s="1"/>
  <c r="AT39" i="5"/>
  <c r="AU39" i="5" s="1"/>
  <c r="AJ39" i="5"/>
  <c r="AK39" i="5" s="1"/>
  <c r="Z39" i="5"/>
  <c r="AA39" i="5" s="1"/>
  <c r="AT193" i="5"/>
  <c r="AS193" i="5"/>
  <c r="BH193" i="5" s="1"/>
  <c r="AJ193" i="5"/>
  <c r="AK193" i="5" s="1"/>
  <c r="Z193" i="5"/>
  <c r="AA193" i="5" s="1"/>
  <c r="Q193" i="5"/>
  <c r="BH303" i="5"/>
  <c r="BI303" i="5" s="1"/>
  <c r="AT303" i="5"/>
  <c r="AU303" i="5" s="1"/>
  <c r="AJ303" i="5"/>
  <c r="AK303" i="5" s="1"/>
  <c r="Z303" i="5"/>
  <c r="AA303" i="5" s="1"/>
  <c r="AT261" i="5"/>
  <c r="AS261" i="5"/>
  <c r="BH261" i="5" s="1"/>
  <c r="AJ261" i="5"/>
  <c r="AK261" i="5" s="1"/>
  <c r="Z261" i="5"/>
  <c r="AA261" i="5" s="1"/>
  <c r="Q261" i="5"/>
  <c r="BH275" i="5"/>
  <c r="BI275" i="5" s="1"/>
  <c r="AT275" i="5"/>
  <c r="AU275" i="5" s="1"/>
  <c r="AJ275" i="5"/>
  <c r="AK275" i="5" s="1"/>
  <c r="Z275" i="5"/>
  <c r="AA275" i="5" s="1"/>
  <c r="BH297" i="5"/>
  <c r="BI297" i="5" s="1"/>
  <c r="AT297" i="5"/>
  <c r="AU297" i="5" s="1"/>
  <c r="AJ297" i="5"/>
  <c r="AK297" i="5" s="1"/>
  <c r="Z297" i="5"/>
  <c r="AA297" i="5" s="1"/>
  <c r="BH121" i="5"/>
  <c r="BI121" i="5" s="1"/>
  <c r="AT121" i="5"/>
  <c r="AU121" i="5" s="1"/>
  <c r="AJ121" i="5"/>
  <c r="AK121" i="5" s="1"/>
  <c r="Z121" i="5"/>
  <c r="AA121" i="5" s="1"/>
  <c r="BH264" i="5"/>
  <c r="BI264" i="5" s="1"/>
  <c r="AT264" i="5"/>
  <c r="AU264" i="5" s="1"/>
  <c r="AJ264" i="5"/>
  <c r="AK264" i="5" s="1"/>
  <c r="Z264" i="5"/>
  <c r="AA264" i="5" s="1"/>
  <c r="BH256" i="5"/>
  <c r="BI256" i="5" s="1"/>
  <c r="AT256" i="5"/>
  <c r="AU256" i="5" s="1"/>
  <c r="AJ256" i="5"/>
  <c r="AK256" i="5" s="1"/>
  <c r="Z256" i="5"/>
  <c r="AA256" i="5" s="1"/>
  <c r="BH65" i="5"/>
  <c r="BI65" i="5" s="1"/>
  <c r="AT65" i="5"/>
  <c r="AU65" i="5" s="1"/>
  <c r="AJ65" i="5"/>
  <c r="AK65" i="5" s="1"/>
  <c r="Z65" i="5"/>
  <c r="AA65" i="5" s="1"/>
  <c r="BH186" i="5"/>
  <c r="BI186" i="5" s="1"/>
  <c r="AT186" i="5"/>
  <c r="AU186" i="5" s="1"/>
  <c r="AJ186" i="5"/>
  <c r="AK186" i="5" s="1"/>
  <c r="Z186" i="5"/>
  <c r="AA186" i="5" s="1"/>
  <c r="BH251" i="5"/>
  <c r="BI251" i="5" s="1"/>
  <c r="AT251" i="5"/>
  <c r="AU251" i="5" s="1"/>
  <c r="AJ251" i="5"/>
  <c r="AK251" i="5" s="1"/>
  <c r="Z251" i="5"/>
  <c r="AA251" i="5" s="1"/>
  <c r="BH45" i="5"/>
  <c r="BI45" i="5" s="1"/>
  <c r="AT45" i="5"/>
  <c r="AU45" i="5" s="1"/>
  <c r="AJ45" i="5"/>
  <c r="AK45" i="5" s="1"/>
  <c r="Z45" i="5"/>
  <c r="AA45" i="5" s="1"/>
  <c r="BH18" i="5"/>
  <c r="BI18" i="5" s="1"/>
  <c r="AT18" i="5"/>
  <c r="AU18" i="5" s="1"/>
  <c r="AJ18" i="5"/>
  <c r="AK18" i="5" s="1"/>
  <c r="Z18" i="5"/>
  <c r="AA18" i="5" s="1"/>
  <c r="BH241" i="5"/>
  <c r="BI241" i="5" s="1"/>
  <c r="AT241" i="5"/>
  <c r="AU241" i="5" s="1"/>
  <c r="AJ241" i="5"/>
  <c r="AK241" i="5" s="1"/>
  <c r="Z241" i="5"/>
  <c r="AA241" i="5" s="1"/>
  <c r="BH137" i="5"/>
  <c r="BI137" i="5" s="1"/>
  <c r="AT137" i="5"/>
  <c r="AU137" i="5" s="1"/>
  <c r="AJ137" i="5"/>
  <c r="AK137" i="5" s="1"/>
  <c r="Z137" i="5"/>
  <c r="AA137" i="5" s="1"/>
  <c r="BH219" i="5"/>
  <c r="BI219" i="5" s="1"/>
  <c r="AT219" i="5"/>
  <c r="AU219" i="5" s="1"/>
  <c r="AJ219" i="5"/>
  <c r="AK219" i="5" s="1"/>
  <c r="Z219" i="5"/>
  <c r="AA219" i="5" s="1"/>
  <c r="BH114" i="5"/>
  <c r="BI114" i="5" s="1"/>
  <c r="AT114" i="5"/>
  <c r="AU114" i="5" s="1"/>
  <c r="AJ114" i="5"/>
  <c r="AK114" i="5" s="1"/>
  <c r="Z114" i="5"/>
  <c r="AA114" i="5" s="1"/>
  <c r="BH97" i="5"/>
  <c r="BI97" i="5" s="1"/>
  <c r="AT97" i="5"/>
  <c r="AU97" i="5" s="1"/>
  <c r="AJ97" i="5"/>
  <c r="AK97" i="5" s="1"/>
  <c r="Z97" i="5"/>
  <c r="AA97" i="5" s="1"/>
  <c r="BH67" i="5"/>
  <c r="BI67" i="5" s="1"/>
  <c r="AT67" i="5"/>
  <c r="AU67" i="5" s="1"/>
  <c r="AJ67" i="5"/>
  <c r="AK67" i="5" s="1"/>
  <c r="Z67" i="5"/>
  <c r="AA67" i="5" s="1"/>
  <c r="BH112" i="5"/>
  <c r="AT112" i="5"/>
  <c r="AU112" i="5" s="1"/>
  <c r="AJ112" i="5"/>
  <c r="AK112" i="5" s="1"/>
  <c r="Z112" i="5"/>
  <c r="AA112" i="5" s="1"/>
  <c r="Q112" i="5"/>
  <c r="BH228" i="5"/>
  <c r="AT228" i="5"/>
  <c r="AU228" i="5" s="1"/>
  <c r="AJ228" i="5"/>
  <c r="AK228" i="5" s="1"/>
  <c r="Z228" i="5"/>
  <c r="AA228" i="5" s="1"/>
  <c r="Q228" i="5"/>
  <c r="AT307" i="5"/>
  <c r="AS307" i="5"/>
  <c r="BH307" i="5" s="1"/>
  <c r="BI307" i="5" s="1"/>
  <c r="AJ307" i="5"/>
  <c r="AK307" i="5" s="1"/>
  <c r="Z307" i="5"/>
  <c r="AA307" i="5" s="1"/>
  <c r="Q307" i="5"/>
  <c r="AT233" i="5"/>
  <c r="AS233" i="5"/>
  <c r="AJ233" i="5"/>
  <c r="AK233" i="5" s="1"/>
  <c r="Z233" i="5"/>
  <c r="AA233" i="5" s="1"/>
  <c r="BH305" i="5"/>
  <c r="BI305" i="5" s="1"/>
  <c r="AT305" i="5"/>
  <c r="AU305" i="5" s="1"/>
  <c r="AJ305" i="5"/>
  <c r="AK305" i="5" s="1"/>
  <c r="Z305" i="5"/>
  <c r="AA305" i="5" s="1"/>
  <c r="AT25" i="5"/>
  <c r="AS25" i="5"/>
  <c r="BH25" i="5" s="1"/>
  <c r="AJ25" i="5"/>
  <c r="AK25" i="5" s="1"/>
  <c r="Z25" i="5"/>
  <c r="AA25" i="5" s="1"/>
  <c r="Q25" i="5"/>
  <c r="AT24" i="5"/>
  <c r="AS24" i="5"/>
  <c r="BH24" i="5" s="1"/>
  <c r="AJ24" i="5"/>
  <c r="AK24" i="5" s="1"/>
  <c r="Z24" i="5"/>
  <c r="AA24" i="5" s="1"/>
  <c r="Q24" i="5"/>
  <c r="BB83" i="5"/>
  <c r="BH83" i="5" s="1"/>
  <c r="BI83" i="5" s="1"/>
  <c r="AT83" i="5"/>
  <c r="AU83" i="5" s="1"/>
  <c r="AJ83" i="5"/>
  <c r="AK83" i="5" s="1"/>
  <c r="Z83" i="5"/>
  <c r="AA83" i="5" s="1"/>
  <c r="BH33" i="5"/>
  <c r="BI33" i="5" s="1"/>
  <c r="AT33" i="5"/>
  <c r="AU33" i="5" s="1"/>
  <c r="AJ33" i="5"/>
  <c r="AK33" i="5" s="1"/>
  <c r="Z33" i="5"/>
  <c r="AA33" i="5" s="1"/>
  <c r="BH32" i="5"/>
  <c r="BI32" i="5" s="1"/>
  <c r="AT32" i="5"/>
  <c r="AU32" i="5" s="1"/>
  <c r="AJ32" i="5"/>
  <c r="AK32" i="5" s="1"/>
  <c r="Z32" i="5"/>
  <c r="AA32" i="5" s="1"/>
  <c r="BH20" i="5"/>
  <c r="BI20" i="5" s="1"/>
  <c r="AT20" i="5"/>
  <c r="AU20" i="5" s="1"/>
  <c r="AJ20" i="5"/>
  <c r="AK20" i="5" s="1"/>
  <c r="Z20" i="5"/>
  <c r="AA20" i="5" s="1"/>
  <c r="BH54" i="5"/>
  <c r="BI54" i="5" s="1"/>
  <c r="AT54" i="5"/>
  <c r="AU54" i="5" s="1"/>
  <c r="AJ54" i="5"/>
  <c r="AK54" i="5" s="1"/>
  <c r="Z54" i="5"/>
  <c r="AA54" i="5" s="1"/>
  <c r="AT46" i="5"/>
  <c r="AS46" i="5"/>
  <c r="AJ46" i="5"/>
  <c r="AK46" i="5" s="1"/>
  <c r="Z46" i="5"/>
  <c r="Y46" i="5"/>
  <c r="BH150" i="5"/>
  <c r="BI150" i="5" s="1"/>
  <c r="AT150" i="5"/>
  <c r="AU150" i="5" s="1"/>
  <c r="AJ150" i="5"/>
  <c r="AK150" i="5" s="1"/>
  <c r="Z150" i="5"/>
  <c r="AA150" i="5" s="1"/>
  <c r="BH30" i="5"/>
  <c r="AT30" i="5"/>
  <c r="AU30" i="5" s="1"/>
  <c r="AJ30" i="5"/>
  <c r="AK30" i="5" s="1"/>
  <c r="Z30" i="5"/>
  <c r="AA30" i="5" s="1"/>
  <c r="Q30" i="5"/>
  <c r="BH152" i="5"/>
  <c r="BI152" i="5" s="1"/>
  <c r="AT152" i="5"/>
  <c r="AU152" i="5" s="1"/>
  <c r="AJ152" i="5"/>
  <c r="AK152" i="5" s="1"/>
  <c r="Z152" i="5"/>
  <c r="AA152" i="5" s="1"/>
  <c r="BH28" i="5"/>
  <c r="BI28" i="5" s="1"/>
  <c r="AT28" i="5"/>
  <c r="AU28" i="5" s="1"/>
  <c r="AJ28" i="5"/>
  <c r="AK28" i="5" s="1"/>
  <c r="Z28" i="5"/>
  <c r="AA28" i="5" s="1"/>
  <c r="AT213" i="5"/>
  <c r="AS213" i="5"/>
  <c r="BH213" i="5" s="1"/>
  <c r="AJ213" i="5"/>
  <c r="AK213" i="5" s="1"/>
  <c r="Z213" i="5"/>
  <c r="AA213" i="5" s="1"/>
  <c r="Q213" i="5"/>
  <c r="BH104" i="5"/>
  <c r="AT104" i="5"/>
  <c r="AU104" i="5" s="1"/>
  <c r="AJ104" i="5"/>
  <c r="AK104" i="5" s="1"/>
  <c r="Z104" i="5"/>
  <c r="AA104" i="5" s="1"/>
  <c r="Q104" i="5"/>
  <c r="BH170" i="5"/>
  <c r="AT170" i="5"/>
  <c r="AU170" i="5" s="1"/>
  <c r="AJ170" i="5"/>
  <c r="AK170" i="5" s="1"/>
  <c r="Z170" i="5"/>
  <c r="AA170" i="5" s="1"/>
  <c r="Q170" i="5"/>
  <c r="BH60" i="5"/>
  <c r="AT60" i="5"/>
  <c r="AU60" i="5" s="1"/>
  <c r="AJ60" i="5"/>
  <c r="AK60" i="5" s="1"/>
  <c r="Z60" i="5"/>
  <c r="AA60" i="5" s="1"/>
  <c r="Q60" i="5"/>
  <c r="BH291" i="5"/>
  <c r="BI291" i="5" s="1"/>
  <c r="AT291" i="5"/>
  <c r="AU291" i="5" s="1"/>
  <c r="AJ291" i="5"/>
  <c r="AK291" i="5" s="1"/>
  <c r="Z291" i="5"/>
  <c r="AA291" i="5" s="1"/>
  <c r="BH66" i="5"/>
  <c r="AT66" i="5"/>
  <c r="AU66" i="5" s="1"/>
  <c r="AJ66" i="5"/>
  <c r="AK66" i="5" s="1"/>
  <c r="Z66" i="5"/>
  <c r="AA66" i="5" s="1"/>
  <c r="Q66" i="5"/>
  <c r="BH302" i="5"/>
  <c r="BI302" i="5" s="1"/>
  <c r="AT302" i="5"/>
  <c r="AU302" i="5" s="1"/>
  <c r="AJ302" i="5"/>
  <c r="AK302" i="5" s="1"/>
  <c r="Z302" i="5"/>
  <c r="AA302" i="5" s="1"/>
  <c r="BH106" i="5"/>
  <c r="BI106" i="5" s="1"/>
  <c r="AT106" i="5"/>
  <c r="AU106" i="5" s="1"/>
  <c r="AJ106" i="5"/>
  <c r="AK106" i="5" s="1"/>
  <c r="Z106" i="5"/>
  <c r="AA106" i="5" s="1"/>
  <c r="BH63" i="5"/>
  <c r="BI63" i="5" s="1"/>
  <c r="AT63" i="5"/>
  <c r="AU63" i="5" s="1"/>
  <c r="AJ63" i="5"/>
  <c r="AK63" i="5" s="1"/>
  <c r="Z63" i="5"/>
  <c r="AA63" i="5" s="1"/>
  <c r="BH138" i="5"/>
  <c r="BI138" i="5" s="1"/>
  <c r="AT138" i="5"/>
  <c r="AU138" i="5" s="1"/>
  <c r="AJ138" i="5"/>
  <c r="AK138" i="5" s="1"/>
  <c r="Z138" i="5"/>
  <c r="AA138" i="5" s="1"/>
  <c r="BH306" i="5"/>
  <c r="AT306" i="5"/>
  <c r="AU306" i="5" s="1"/>
  <c r="AJ306" i="5"/>
  <c r="AK306" i="5" s="1"/>
  <c r="Z306" i="5"/>
  <c r="AA306" i="5" s="1"/>
  <c r="Q306" i="5"/>
  <c r="BH329" i="5"/>
  <c r="BI329" i="5" s="1"/>
  <c r="AT329" i="5"/>
  <c r="AU329" i="5" s="1"/>
  <c r="AJ329" i="5"/>
  <c r="AK329" i="5" s="1"/>
  <c r="Z329" i="5"/>
  <c r="AA329" i="5" s="1"/>
  <c r="BH336" i="5"/>
  <c r="BI336" i="5" s="1"/>
  <c r="AT336" i="5"/>
  <c r="AU336" i="5" s="1"/>
  <c r="AJ336" i="5"/>
  <c r="AK336" i="5" s="1"/>
  <c r="Z336" i="5"/>
  <c r="AA336" i="5" s="1"/>
  <c r="BH335" i="5"/>
  <c r="BI335" i="5" s="1"/>
  <c r="AT335" i="5"/>
  <c r="AU335" i="5" s="1"/>
  <c r="AJ335" i="5"/>
  <c r="AK335" i="5" s="1"/>
  <c r="Z335" i="5"/>
  <c r="AA335" i="5" s="1"/>
  <c r="BH116" i="5"/>
  <c r="BI116" i="5" s="1"/>
  <c r="AT116" i="5"/>
  <c r="AU116" i="5" s="1"/>
  <c r="AJ116" i="5"/>
  <c r="AK116" i="5" s="1"/>
  <c r="Z116" i="5"/>
  <c r="AA116" i="5" s="1"/>
  <c r="BH126" i="5"/>
  <c r="AT126" i="5"/>
  <c r="AU126" i="5" s="1"/>
  <c r="AJ126" i="5"/>
  <c r="AK126" i="5" s="1"/>
  <c r="Z126" i="5"/>
  <c r="AA126" i="5" s="1"/>
  <c r="Q126" i="5"/>
  <c r="AT141" i="5"/>
  <c r="AS141" i="5"/>
  <c r="BH141" i="5" s="1"/>
  <c r="AJ141" i="5"/>
  <c r="AK141" i="5" s="1"/>
  <c r="Z141" i="5"/>
  <c r="AA141" i="5" s="1"/>
  <c r="Q141" i="5"/>
  <c r="BH198" i="5"/>
  <c r="BI198" i="5" s="1"/>
  <c r="AT198" i="5"/>
  <c r="AU198" i="5" s="1"/>
  <c r="AJ198" i="5"/>
  <c r="AK198" i="5" s="1"/>
  <c r="Z198" i="5"/>
  <c r="AA198" i="5" s="1"/>
  <c r="BH139" i="5"/>
  <c r="BI139" i="5" s="1"/>
  <c r="AT139" i="5"/>
  <c r="AU139" i="5" s="1"/>
  <c r="AJ139" i="5"/>
  <c r="AK139" i="5" s="1"/>
  <c r="Z139" i="5"/>
  <c r="AA139" i="5" s="1"/>
  <c r="BH259" i="5"/>
  <c r="BI259" i="5" s="1"/>
  <c r="AT259" i="5"/>
  <c r="AU259" i="5" s="1"/>
  <c r="AJ259" i="5"/>
  <c r="AK259" i="5" s="1"/>
  <c r="Z259" i="5"/>
  <c r="AA259" i="5" s="1"/>
  <c r="BH338" i="5"/>
  <c r="BI338" i="5" s="1"/>
  <c r="AT338" i="5"/>
  <c r="AU338" i="5" s="1"/>
  <c r="AJ338" i="5"/>
  <c r="AK338" i="5" s="1"/>
  <c r="Z338" i="5"/>
  <c r="AA338" i="5" s="1"/>
  <c r="BH280" i="5"/>
  <c r="BI280" i="5" s="1"/>
  <c r="AT280" i="5"/>
  <c r="AU280" i="5" s="1"/>
  <c r="AJ280" i="5"/>
  <c r="AK280" i="5" s="1"/>
  <c r="Z280" i="5"/>
  <c r="AA280" i="5" s="1"/>
  <c r="BH23" i="5"/>
  <c r="BI23" i="5" s="1"/>
  <c r="AT23" i="5"/>
  <c r="AU23" i="5" s="1"/>
  <c r="AJ23" i="5"/>
  <c r="AK23" i="5" s="1"/>
  <c r="Z23" i="5"/>
  <c r="AA23" i="5" s="1"/>
  <c r="BH230" i="5"/>
  <c r="AT230" i="5"/>
  <c r="AU230" i="5" s="1"/>
  <c r="AJ230" i="5"/>
  <c r="AK230" i="5" s="1"/>
  <c r="Z230" i="5"/>
  <c r="AA230" i="5" s="1"/>
  <c r="Q230" i="5"/>
  <c r="BH167" i="5"/>
  <c r="BI167" i="5" s="1"/>
  <c r="AT167" i="5"/>
  <c r="AU167" i="5" s="1"/>
  <c r="AJ167" i="5"/>
  <c r="AK167" i="5" s="1"/>
  <c r="Z167" i="5"/>
  <c r="AA167" i="5" s="1"/>
  <c r="BH64" i="5"/>
  <c r="BI64" i="5" s="1"/>
  <c r="AT64" i="5"/>
  <c r="AU64" i="5" s="1"/>
  <c r="AJ64" i="5"/>
  <c r="AK64" i="5" s="1"/>
  <c r="Z64" i="5"/>
  <c r="AA64" i="5" s="1"/>
  <c r="BH165" i="5"/>
  <c r="BI165" i="5" s="1"/>
  <c r="AT165" i="5"/>
  <c r="AU165" i="5" s="1"/>
  <c r="AJ165" i="5"/>
  <c r="AK165" i="5" s="1"/>
  <c r="Z165" i="5"/>
  <c r="AA165" i="5" s="1"/>
  <c r="BH132" i="5"/>
  <c r="AT132" i="5"/>
  <c r="AU132" i="5" s="1"/>
  <c r="AJ132" i="5"/>
  <c r="AK132" i="5" s="1"/>
  <c r="Z132" i="5"/>
  <c r="AA132" i="5" s="1"/>
  <c r="Q132" i="5"/>
  <c r="BH295" i="5"/>
  <c r="BI295" i="5" s="1"/>
  <c r="AT295" i="5"/>
  <c r="AU295" i="5" s="1"/>
  <c r="AJ295" i="5"/>
  <c r="AK295" i="5" s="1"/>
  <c r="Z295" i="5"/>
  <c r="AA295" i="5" s="1"/>
  <c r="AM304" i="5"/>
  <c r="AS304" i="5" s="1"/>
  <c r="BH304" i="5" s="1"/>
  <c r="AJ304" i="5"/>
  <c r="AK304" i="5" s="1"/>
  <c r="S304" i="5"/>
  <c r="Z304" i="5" s="1"/>
  <c r="AA304" i="5" s="1"/>
  <c r="Q304" i="5"/>
  <c r="BH154" i="5"/>
  <c r="BI154" i="5" s="1"/>
  <c r="AO154" i="5"/>
  <c r="AT154" i="5" s="1"/>
  <c r="AU154" i="5" s="1"/>
  <c r="AE154" i="5"/>
  <c r="AJ154" i="5" s="1"/>
  <c r="AK154" i="5" s="1"/>
  <c r="Z154" i="5"/>
  <c r="AA154" i="5" s="1"/>
  <c r="BH330" i="5"/>
  <c r="BI330" i="5" s="1"/>
  <c r="AT330" i="5"/>
  <c r="AU330" i="5" s="1"/>
  <c r="AJ330" i="5"/>
  <c r="AK330" i="5" s="1"/>
  <c r="Z330" i="5"/>
  <c r="AA330" i="5" s="1"/>
  <c r="BH81" i="5"/>
  <c r="AT81" i="5"/>
  <c r="AU81" i="5" s="1"/>
  <c r="AJ81" i="5"/>
  <c r="AK81" i="5" s="1"/>
  <c r="Z81" i="5"/>
  <c r="AA81" i="5" s="1"/>
  <c r="Q81" i="5"/>
  <c r="BH164" i="5"/>
  <c r="AT164" i="5"/>
  <c r="AU164" i="5" s="1"/>
  <c r="AJ164" i="5"/>
  <c r="AK164" i="5" s="1"/>
  <c r="Z164" i="5"/>
  <c r="AA164" i="5" s="1"/>
  <c r="Q164" i="5"/>
  <c r="BH276" i="5"/>
  <c r="BI276" i="5" s="1"/>
  <c r="AT276" i="5"/>
  <c r="AU276" i="5" s="1"/>
  <c r="AJ276" i="5"/>
  <c r="AK276" i="5" s="1"/>
  <c r="Z276" i="5"/>
  <c r="AA276" i="5" s="1"/>
  <c r="BH285" i="5"/>
  <c r="BI285" i="5" s="1"/>
  <c r="AT285" i="5"/>
  <c r="AU285" i="5" s="1"/>
  <c r="AJ285" i="5"/>
  <c r="AK285" i="5" s="1"/>
  <c r="Z285" i="5"/>
  <c r="AA285" i="5" s="1"/>
  <c r="BH29" i="5"/>
  <c r="BI29" i="5" s="1"/>
  <c r="AT29" i="5"/>
  <c r="AU29" i="5" s="1"/>
  <c r="AJ29" i="5"/>
  <c r="AK29" i="5" s="1"/>
  <c r="Z29" i="5"/>
  <c r="AA29" i="5" s="1"/>
  <c r="AT133" i="5"/>
  <c r="AS133" i="5"/>
  <c r="BH133" i="5" s="1"/>
  <c r="AJ133" i="5"/>
  <c r="AK133" i="5" s="1"/>
  <c r="Z133" i="5"/>
  <c r="AA133" i="5" s="1"/>
  <c r="Q133" i="5"/>
  <c r="BH298" i="5"/>
  <c r="AT298" i="5"/>
  <c r="AU298" i="5" s="1"/>
  <c r="AJ298" i="5"/>
  <c r="AK298" i="5" s="1"/>
  <c r="Z298" i="5"/>
  <c r="AA298" i="5" s="1"/>
  <c r="Q298" i="5"/>
  <c r="BH140" i="5"/>
  <c r="BI140" i="5" s="1"/>
  <c r="AT140" i="5"/>
  <c r="AU140" i="5" s="1"/>
  <c r="AJ140" i="5"/>
  <c r="AK140" i="5" s="1"/>
  <c r="Z140" i="5"/>
  <c r="AA140" i="5" s="1"/>
  <c r="BH99" i="5"/>
  <c r="BI99" i="5" s="1"/>
  <c r="AT99" i="5"/>
  <c r="AU99" i="5" s="1"/>
  <c r="AJ99" i="5"/>
  <c r="AK99" i="5" s="1"/>
  <c r="Z99" i="5"/>
  <c r="AA99" i="5" s="1"/>
  <c r="AT239" i="5"/>
  <c r="AS239" i="5"/>
  <c r="AJ239" i="5"/>
  <c r="AK239" i="5" s="1"/>
  <c r="Z239" i="5"/>
  <c r="Y239" i="5"/>
  <c r="Q239" i="5"/>
  <c r="AT160" i="5"/>
  <c r="AS160" i="5"/>
  <c r="BH160" i="5" s="1"/>
  <c r="AJ160" i="5"/>
  <c r="AK160" i="5" s="1"/>
  <c r="Z160" i="5"/>
  <c r="AA160" i="5" s="1"/>
  <c r="Q160" i="5"/>
  <c r="BH163" i="5"/>
  <c r="AT163" i="5"/>
  <c r="AU163" i="5" s="1"/>
  <c r="AJ163" i="5"/>
  <c r="AK163" i="5" s="1"/>
  <c r="Z163" i="5"/>
  <c r="AA163" i="5" s="1"/>
  <c r="Q163" i="5"/>
  <c r="BH15" i="5"/>
  <c r="BI15" i="5" s="1"/>
  <c r="AT15" i="5"/>
  <c r="AU15" i="5" s="1"/>
  <c r="AJ15" i="5"/>
  <c r="AK15" i="5" s="1"/>
  <c r="Z15" i="5"/>
  <c r="AA15" i="5" s="1"/>
  <c r="BH194" i="5"/>
  <c r="BI194" i="5" s="1"/>
  <c r="AT194" i="5"/>
  <c r="AU194" i="5" s="1"/>
  <c r="AJ194" i="5"/>
  <c r="AK194" i="5" s="1"/>
  <c r="Z194" i="5"/>
  <c r="AA194" i="5" s="1"/>
  <c r="BH134" i="5"/>
  <c r="BI134" i="5" s="1"/>
  <c r="AT134" i="5"/>
  <c r="AU134" i="5" s="1"/>
  <c r="AJ134" i="5"/>
  <c r="AK134" i="5" s="1"/>
  <c r="Z134" i="5"/>
  <c r="AA134" i="5" s="1"/>
  <c r="BH155" i="5"/>
  <c r="BI155" i="5" s="1"/>
  <c r="AT155" i="5"/>
  <c r="AU155" i="5" s="1"/>
  <c r="AJ155" i="5"/>
  <c r="AK155" i="5" s="1"/>
  <c r="Z155" i="5"/>
  <c r="AA155" i="5" s="1"/>
  <c r="BH263" i="5"/>
  <c r="BI263" i="5" s="1"/>
  <c r="AT263" i="5"/>
  <c r="AU263" i="5" s="1"/>
  <c r="AJ263" i="5"/>
  <c r="AK263" i="5" s="1"/>
  <c r="Z263" i="5"/>
  <c r="AA263" i="5" s="1"/>
  <c r="AT149" i="5"/>
  <c r="AS149" i="5"/>
  <c r="BH149" i="5" s="1"/>
  <c r="BI149" i="5" s="1"/>
  <c r="AJ149" i="5"/>
  <c r="AK149" i="5" s="1"/>
  <c r="Z149" i="5"/>
  <c r="AA149" i="5" s="1"/>
  <c r="Q149" i="5"/>
  <c r="BH110" i="5"/>
  <c r="BI110" i="5" s="1"/>
  <c r="AT110" i="5"/>
  <c r="AU110" i="5" s="1"/>
  <c r="AJ110" i="5"/>
  <c r="AK110" i="5" s="1"/>
  <c r="Z110" i="5"/>
  <c r="AA110" i="5" s="1"/>
  <c r="BH192" i="5"/>
  <c r="BI192" i="5" s="1"/>
  <c r="AT192" i="5"/>
  <c r="AU192" i="5" s="1"/>
  <c r="AJ192" i="5"/>
  <c r="AK192" i="5" s="1"/>
  <c r="Z192" i="5"/>
  <c r="AA192" i="5" s="1"/>
  <c r="BH258" i="5"/>
  <c r="BI258" i="5" s="1"/>
  <c r="AT258" i="5"/>
  <c r="AU258" i="5" s="1"/>
  <c r="AJ258" i="5"/>
  <c r="AK258" i="5" s="1"/>
  <c r="Z258" i="5"/>
  <c r="AA258" i="5" s="1"/>
  <c r="BH157" i="5"/>
  <c r="BI157" i="5" s="1"/>
  <c r="AT157" i="5"/>
  <c r="AU157" i="5" s="1"/>
  <c r="AJ157" i="5"/>
  <c r="AK157" i="5" s="1"/>
  <c r="Z157" i="5"/>
  <c r="AA157" i="5" s="1"/>
  <c r="BH144" i="5"/>
  <c r="BI144" i="5" s="1"/>
  <c r="AT144" i="5"/>
  <c r="AU144" i="5" s="1"/>
  <c r="AJ144" i="5"/>
  <c r="AK144" i="5" s="1"/>
  <c r="Z144" i="5"/>
  <c r="AA144" i="5" s="1"/>
  <c r="BH143" i="5"/>
  <c r="BI143" i="5" s="1"/>
  <c r="AT143" i="5"/>
  <c r="AU143" i="5" s="1"/>
  <c r="AJ143" i="5"/>
  <c r="AK143" i="5" s="1"/>
  <c r="Z143" i="5"/>
  <c r="AA143" i="5" s="1"/>
  <c r="BH328" i="5"/>
  <c r="AT328" i="5"/>
  <c r="AU328" i="5" s="1"/>
  <c r="AJ328" i="5"/>
  <c r="AK328" i="5" s="1"/>
  <c r="Z328" i="5"/>
  <c r="AA328" i="5" s="1"/>
  <c r="Q328" i="5"/>
  <c r="AT62" i="5"/>
  <c r="AS62" i="5"/>
  <c r="BH62" i="5" s="1"/>
  <c r="BI62" i="5" s="1"/>
  <c r="AJ62" i="5"/>
  <c r="AK62" i="5" s="1"/>
  <c r="Z62" i="5"/>
  <c r="AA62" i="5" s="1"/>
  <c r="Q62" i="5"/>
  <c r="AT61" i="5"/>
  <c r="AS61" i="5"/>
  <c r="BH61" i="5" s="1"/>
  <c r="AJ61" i="5"/>
  <c r="AK61" i="5" s="1"/>
  <c r="Z61" i="5"/>
  <c r="AA61" i="5" s="1"/>
  <c r="Q61" i="5"/>
  <c r="BH96" i="5"/>
  <c r="BI96" i="5" s="1"/>
  <c r="AT96" i="5"/>
  <c r="AU96" i="5" s="1"/>
  <c r="AC96" i="5"/>
  <c r="AJ96" i="5" s="1"/>
  <c r="AK96" i="5" s="1"/>
  <c r="Z96" i="5"/>
  <c r="AA96" i="5" s="1"/>
  <c r="BH185" i="5"/>
  <c r="BI185" i="5" s="1"/>
  <c r="AT185" i="5"/>
  <c r="AU185" i="5" s="1"/>
  <c r="AJ185" i="5"/>
  <c r="AK185" i="5" s="1"/>
  <c r="Z185" i="5"/>
  <c r="AA185" i="5" s="1"/>
  <c r="AT225" i="5"/>
  <c r="AS225" i="5"/>
  <c r="BH225" i="5" s="1"/>
  <c r="BI225" i="5" s="1"/>
  <c r="AJ225" i="5"/>
  <c r="AK225" i="5" s="1"/>
  <c r="Z225" i="5"/>
  <c r="AA225" i="5" s="1"/>
  <c r="BH42" i="5"/>
  <c r="BI42" i="5" s="1"/>
  <c r="AT42" i="5"/>
  <c r="AU42" i="5" s="1"/>
  <c r="AJ42" i="5"/>
  <c r="AK42" i="5" s="1"/>
  <c r="Z42" i="5"/>
  <c r="AA42" i="5" s="1"/>
  <c r="BH22" i="5"/>
  <c r="BI22" i="5" s="1"/>
  <c r="AT22" i="5"/>
  <c r="AU22" i="5" s="1"/>
  <c r="AJ22" i="5"/>
  <c r="AK22" i="5" s="1"/>
  <c r="Z22" i="5"/>
  <c r="AA22" i="5" s="1"/>
  <c r="BH145" i="5"/>
  <c r="BI145" i="5" s="1"/>
  <c r="AT145" i="5"/>
  <c r="AU145" i="5" s="1"/>
  <c r="AJ145" i="5"/>
  <c r="AK145" i="5" s="1"/>
  <c r="Z145" i="5"/>
  <c r="AA145" i="5" s="1"/>
  <c r="BH57" i="5"/>
  <c r="BI57" i="5" s="1"/>
  <c r="AT57" i="5"/>
  <c r="AU57" i="5" s="1"/>
  <c r="AJ57" i="5"/>
  <c r="AK57" i="5" s="1"/>
  <c r="Z57" i="5"/>
  <c r="AA57" i="5" s="1"/>
  <c r="BH337" i="5"/>
  <c r="BI337" i="5" s="1"/>
  <c r="AT337" i="5"/>
  <c r="AU337" i="5" s="1"/>
  <c r="AJ337" i="5"/>
  <c r="AK337" i="5" s="1"/>
  <c r="Z337" i="5"/>
  <c r="AA337" i="5" s="1"/>
  <c r="BH70" i="5"/>
  <c r="BI70" i="5" s="1"/>
  <c r="AT70" i="5"/>
  <c r="AU70" i="5" s="1"/>
  <c r="AJ70" i="5"/>
  <c r="AK70" i="5" s="1"/>
  <c r="Z70" i="5"/>
  <c r="AA70" i="5" s="1"/>
  <c r="BH92" i="5"/>
  <c r="AT92" i="5"/>
  <c r="AU92" i="5" s="1"/>
  <c r="AJ92" i="5"/>
  <c r="AK92" i="5" s="1"/>
  <c r="Z92" i="5"/>
  <c r="AA92" i="5" s="1"/>
  <c r="Q92" i="5"/>
  <c r="AT94" i="5"/>
  <c r="AS94" i="5"/>
  <c r="AJ94" i="5"/>
  <c r="AK94" i="5" s="1"/>
  <c r="Z94" i="5"/>
  <c r="AA94" i="5" s="1"/>
  <c r="Q94" i="5"/>
  <c r="AT231" i="5"/>
  <c r="AS231" i="5"/>
  <c r="BH231" i="5" s="1"/>
  <c r="AJ231" i="5"/>
  <c r="AK231" i="5" s="1"/>
  <c r="Z231" i="5"/>
  <c r="AA231" i="5" s="1"/>
  <c r="Q231" i="5"/>
  <c r="BH323" i="5"/>
  <c r="BI323" i="5" s="1"/>
  <c r="AT323" i="5"/>
  <c r="AU323" i="5" s="1"/>
  <c r="AJ323" i="5"/>
  <c r="AK323" i="5" s="1"/>
  <c r="Z323" i="5"/>
  <c r="AA323" i="5" s="1"/>
  <c r="BH91" i="5"/>
  <c r="BI91" i="5" s="1"/>
  <c r="AT91" i="5"/>
  <c r="AU91" i="5" s="1"/>
  <c r="AJ91" i="5"/>
  <c r="AK91" i="5" s="1"/>
  <c r="Z91" i="5"/>
  <c r="AA91" i="5" s="1"/>
  <c r="BH17" i="5"/>
  <c r="BI17" i="5" s="1"/>
  <c r="AT17" i="5"/>
  <c r="AU17" i="5" s="1"/>
  <c r="AJ17" i="5"/>
  <c r="AK17" i="5" s="1"/>
  <c r="Z17" i="5"/>
  <c r="AA17" i="5" s="1"/>
  <c r="BH250" i="5"/>
  <c r="BI250" i="5" s="1"/>
  <c r="AT250" i="5"/>
  <c r="AU250" i="5" s="1"/>
  <c r="AJ250" i="5"/>
  <c r="AK250" i="5" s="1"/>
  <c r="Z250" i="5"/>
  <c r="AA250" i="5" s="1"/>
  <c r="BH315" i="5"/>
  <c r="BI315" i="5" s="1"/>
  <c r="AT315" i="5"/>
  <c r="AU315" i="5" s="1"/>
  <c r="AJ315" i="5"/>
  <c r="AK315" i="5" s="1"/>
  <c r="Z315" i="5"/>
  <c r="AA315" i="5" s="1"/>
  <c r="AT314" i="5"/>
  <c r="AS314" i="5"/>
  <c r="AJ314" i="5"/>
  <c r="AK314" i="5" s="1"/>
  <c r="Z314" i="5"/>
  <c r="AA314" i="5" s="1"/>
  <c r="Q314" i="5"/>
  <c r="BH313" i="5"/>
  <c r="AT313" i="5"/>
  <c r="AU313" i="5" s="1"/>
  <c r="AJ313" i="5"/>
  <c r="AK313" i="5" s="1"/>
  <c r="Z313" i="5"/>
  <c r="AA313" i="5" s="1"/>
  <c r="Q313" i="5"/>
  <c r="BH88" i="5"/>
  <c r="BI88" i="5" s="1"/>
  <c r="AT88" i="5"/>
  <c r="AU88" i="5" s="1"/>
  <c r="AJ88" i="5"/>
  <c r="AK88" i="5" s="1"/>
  <c r="Z88" i="5"/>
  <c r="AA88" i="5" s="1"/>
  <c r="BH19" i="5"/>
  <c r="BI19" i="5" s="1"/>
  <c r="AT19" i="5"/>
  <c r="AU19" i="5" s="1"/>
  <c r="AJ19" i="5"/>
  <c r="AK19" i="5" s="1"/>
  <c r="Z19" i="5"/>
  <c r="AA19" i="5" s="1"/>
  <c r="BH310" i="5"/>
  <c r="BI310" i="5" s="1"/>
  <c r="AT310" i="5"/>
  <c r="AU310" i="5" s="1"/>
  <c r="AJ310" i="5"/>
  <c r="AK310" i="5" s="1"/>
  <c r="Z310" i="5"/>
  <c r="AA310" i="5" s="1"/>
  <c r="BH281" i="5"/>
  <c r="BI281" i="5" s="1"/>
  <c r="AT281" i="5"/>
  <c r="AU281" i="5" s="1"/>
  <c r="AJ281" i="5"/>
  <c r="AK281" i="5" s="1"/>
  <c r="Z281" i="5"/>
  <c r="AA281" i="5" s="1"/>
  <c r="BH290" i="5"/>
  <c r="BI290" i="5" s="1"/>
  <c r="AT290" i="5"/>
  <c r="AU290" i="5" s="1"/>
  <c r="AJ290" i="5"/>
  <c r="AK290" i="5" s="1"/>
  <c r="Z290" i="5"/>
  <c r="AA290" i="5" s="1"/>
  <c r="BH274" i="5"/>
  <c r="BI274" i="5" s="1"/>
  <c r="AT274" i="5"/>
  <c r="AU274" i="5" s="1"/>
  <c r="AJ274" i="5"/>
  <c r="AK274" i="5" s="1"/>
  <c r="Z274" i="5"/>
  <c r="AA274" i="5" s="1"/>
  <c r="BH77" i="5"/>
  <c r="AT77" i="5"/>
  <c r="AU77" i="5" s="1"/>
  <c r="AJ77" i="5"/>
  <c r="AK77" i="5" s="1"/>
  <c r="Z77" i="5"/>
  <c r="AA77" i="5" s="1"/>
  <c r="Q77" i="5"/>
  <c r="AT101" i="5"/>
  <c r="AS101" i="5"/>
  <c r="AJ101" i="5"/>
  <c r="AK101" i="5" s="1"/>
  <c r="Z101" i="5"/>
  <c r="AA101" i="5" s="1"/>
  <c r="Q101" i="5"/>
  <c r="AT100" i="5"/>
  <c r="AS100" i="5"/>
  <c r="BH100" i="5" s="1"/>
  <c r="AJ100" i="5"/>
  <c r="AK100" i="5" s="1"/>
  <c r="Z100" i="5"/>
  <c r="AA100" i="5" s="1"/>
  <c r="Q100" i="5"/>
  <c r="BH131" i="5"/>
  <c r="AO131" i="5"/>
  <c r="AM131" i="5"/>
  <c r="AT131" i="5" s="1"/>
  <c r="AU131" i="5" s="1"/>
  <c r="AJ131" i="5"/>
  <c r="AK131" i="5" s="1"/>
  <c r="Z131" i="5"/>
  <c r="AA131" i="5" s="1"/>
  <c r="Q131" i="5"/>
  <c r="AT334" i="5"/>
  <c r="AS334" i="5"/>
  <c r="BH334" i="5" s="1"/>
  <c r="AJ334" i="5"/>
  <c r="AK334" i="5" s="1"/>
  <c r="Z334" i="5"/>
  <c r="AA334" i="5" s="1"/>
  <c r="Q334" i="5"/>
  <c r="BH268" i="5"/>
  <c r="BI268" i="5" s="1"/>
  <c r="AT268" i="5"/>
  <c r="AU268" i="5" s="1"/>
  <c r="AJ268" i="5"/>
  <c r="AK268" i="5" s="1"/>
  <c r="Z268" i="5"/>
  <c r="AA268" i="5" s="1"/>
  <c r="AT183" i="5"/>
  <c r="AS183" i="5"/>
  <c r="BH183" i="5" s="1"/>
  <c r="AJ183" i="5"/>
  <c r="AK183" i="5" s="1"/>
  <c r="Z183" i="5"/>
  <c r="AA183" i="5" s="1"/>
  <c r="Q183" i="5"/>
  <c r="BH80" i="5"/>
  <c r="BI80" i="5" s="1"/>
  <c r="AT80" i="5"/>
  <c r="AU80" i="5" s="1"/>
  <c r="AJ80" i="5"/>
  <c r="AK80" i="5" s="1"/>
  <c r="Z80" i="5"/>
  <c r="AA80" i="5" s="1"/>
  <c r="BH162" i="5"/>
  <c r="BI162" i="5" s="1"/>
  <c r="AT162" i="5"/>
  <c r="AU162" i="5" s="1"/>
  <c r="AJ162" i="5"/>
  <c r="AK162" i="5" s="1"/>
  <c r="Z162" i="5"/>
  <c r="AA162" i="5" s="1"/>
  <c r="BH180" i="5"/>
  <c r="BI180" i="5" s="1"/>
  <c r="AT180" i="5"/>
  <c r="AU180" i="5" s="1"/>
  <c r="AJ180" i="5"/>
  <c r="AK180" i="5" s="1"/>
  <c r="Z180" i="5"/>
  <c r="AA180" i="5" s="1"/>
  <c r="BH8" i="5"/>
  <c r="BI8" i="5" s="1"/>
  <c r="AT8" i="5"/>
  <c r="AU8" i="5" s="1"/>
  <c r="AJ8" i="5"/>
  <c r="AK8" i="5" s="1"/>
  <c r="Z8" i="5"/>
  <c r="AA8" i="5" s="1"/>
  <c r="BH182" i="5"/>
  <c r="AT182" i="5"/>
  <c r="AU182" i="5" s="1"/>
  <c r="AJ182" i="5"/>
  <c r="AK182" i="5" s="1"/>
  <c r="Z182" i="5"/>
  <c r="AA182" i="5" s="1"/>
  <c r="Q182" i="5"/>
  <c r="AT68" i="5"/>
  <c r="AU68" i="5" s="1"/>
  <c r="AJ68" i="5"/>
  <c r="AK68" i="5" s="1"/>
  <c r="Z68" i="5"/>
  <c r="Y68" i="5"/>
  <c r="Q68" i="5"/>
  <c r="AT223" i="5"/>
  <c r="AU223" i="5" s="1"/>
  <c r="AJ223" i="5"/>
  <c r="AK223" i="5" s="1"/>
  <c r="Z223" i="5"/>
  <c r="Y223" i="5"/>
  <c r="BH223" i="5" s="1"/>
  <c r="Q223" i="5"/>
  <c r="BH148" i="5"/>
  <c r="BI148" i="5" s="1"/>
  <c r="AT148" i="5"/>
  <c r="AU148" i="5" s="1"/>
  <c r="AJ148" i="5"/>
  <c r="AK148" i="5" s="1"/>
  <c r="Z148" i="5"/>
  <c r="AA148" i="5" s="1"/>
  <c r="AT216" i="5"/>
  <c r="AS216" i="5"/>
  <c r="AJ216" i="5"/>
  <c r="AK216" i="5" s="1"/>
  <c r="Z216" i="5"/>
  <c r="AA216" i="5" s="1"/>
  <c r="Q216" i="5"/>
  <c r="AT196" i="5"/>
  <c r="AS196" i="5"/>
  <c r="BH196" i="5" s="1"/>
  <c r="BI196" i="5" s="1"/>
  <c r="AJ196" i="5"/>
  <c r="AK196" i="5" s="1"/>
  <c r="Z196" i="5"/>
  <c r="AA196" i="5" s="1"/>
  <c r="Q196" i="5"/>
  <c r="BH187" i="5"/>
  <c r="BI187" i="5" s="1"/>
  <c r="AT187" i="5"/>
  <c r="AU187" i="5" s="1"/>
  <c r="AJ187" i="5"/>
  <c r="AK187" i="5" s="1"/>
  <c r="Z187" i="5"/>
  <c r="AA187" i="5" s="1"/>
  <c r="BH324" i="5"/>
  <c r="BI324" i="5" s="1"/>
  <c r="AT324" i="5"/>
  <c r="AU324" i="5" s="1"/>
  <c r="AJ324" i="5"/>
  <c r="AK324" i="5" s="1"/>
  <c r="Z324" i="5"/>
  <c r="AA324" i="5" s="1"/>
  <c r="BH37" i="5"/>
  <c r="BI37" i="5" s="1"/>
  <c r="AT37" i="5"/>
  <c r="AU37" i="5" s="1"/>
  <c r="AJ37" i="5"/>
  <c r="AK37" i="5" s="1"/>
  <c r="Z37" i="5"/>
  <c r="AA37" i="5" s="1"/>
  <c r="BH123" i="5"/>
  <c r="BI123" i="5" s="1"/>
  <c r="AT123" i="5"/>
  <c r="AU123" i="5" s="1"/>
  <c r="AJ123" i="5"/>
  <c r="AK123" i="5" s="1"/>
  <c r="Z123" i="5"/>
  <c r="AA123" i="5" s="1"/>
  <c r="BH38" i="5"/>
  <c r="BI38" i="5" s="1"/>
  <c r="AT38" i="5"/>
  <c r="AU38" i="5" s="1"/>
  <c r="AJ38" i="5"/>
  <c r="AK38" i="5" s="1"/>
  <c r="Z38" i="5"/>
  <c r="AA38" i="5" s="1"/>
  <c r="AT222" i="5"/>
  <c r="AS222" i="5"/>
  <c r="AJ222" i="5"/>
  <c r="AK222" i="5" s="1"/>
  <c r="Z222" i="5"/>
  <c r="AA222" i="5" s="1"/>
  <c r="Q222" i="5"/>
  <c r="BH221" i="5"/>
  <c r="BI221" i="5" s="1"/>
  <c r="AT221" i="5"/>
  <c r="AU221" i="5" s="1"/>
  <c r="AJ221" i="5"/>
  <c r="AK221" i="5" s="1"/>
  <c r="Z221" i="5"/>
  <c r="AA221" i="5" s="1"/>
  <c r="BH220" i="5"/>
  <c r="AT220" i="5"/>
  <c r="AU220" i="5" s="1"/>
  <c r="AJ220" i="5"/>
  <c r="AK220" i="5" s="1"/>
  <c r="Z220" i="5"/>
  <c r="AA220" i="5" s="1"/>
  <c r="Q220" i="5"/>
  <c r="AT26" i="5"/>
  <c r="AU26" i="5" s="1"/>
  <c r="AJ26" i="5"/>
  <c r="AK26" i="5" s="1"/>
  <c r="Z26" i="5"/>
  <c r="Y26" i="5"/>
  <c r="BH26" i="5" s="1"/>
  <c r="BI26" i="5" s="1"/>
  <c r="AT273" i="5"/>
  <c r="AU273" i="5" s="1"/>
  <c r="AJ273" i="5"/>
  <c r="AK273" i="5" s="1"/>
  <c r="Z273" i="5"/>
  <c r="Y273" i="5"/>
  <c r="Q273" i="5"/>
  <c r="AT136" i="5"/>
  <c r="AS136" i="5"/>
  <c r="BH136" i="5" s="1"/>
  <c r="BI136" i="5" s="1"/>
  <c r="AJ136" i="5"/>
  <c r="AK136" i="5" s="1"/>
  <c r="Z136" i="5"/>
  <c r="AA136" i="5" s="1"/>
  <c r="Q136" i="5"/>
  <c r="AT59" i="5"/>
  <c r="AU59" i="5" s="1"/>
  <c r="AJ59" i="5"/>
  <c r="AK59" i="5" s="1"/>
  <c r="Z59" i="5"/>
  <c r="Y59" i="5"/>
  <c r="Q59" i="5"/>
  <c r="BH4" i="5"/>
  <c r="BI4" i="5" s="1"/>
  <c r="AT4" i="5"/>
  <c r="AU4" i="5" s="1"/>
  <c r="AJ4" i="5"/>
  <c r="AK4" i="5" s="1"/>
  <c r="Z4" i="5"/>
  <c r="AA4" i="5" s="1"/>
  <c r="BH218" i="5"/>
  <c r="AT218" i="5"/>
  <c r="AU218" i="5" s="1"/>
  <c r="AJ218" i="5"/>
  <c r="AK218" i="5" s="1"/>
  <c r="Z218" i="5"/>
  <c r="AA218" i="5" s="1"/>
  <c r="Q218" i="5"/>
  <c r="BH217" i="5"/>
  <c r="BI217" i="5" s="1"/>
  <c r="AT217" i="5"/>
  <c r="AU217" i="5" s="1"/>
  <c r="AJ217" i="5"/>
  <c r="AK217" i="5" s="1"/>
  <c r="Z217" i="5"/>
  <c r="AA217" i="5" s="1"/>
  <c r="BH190" i="5"/>
  <c r="BI190" i="5" s="1"/>
  <c r="AT190" i="5"/>
  <c r="AU190" i="5" s="1"/>
  <c r="AJ190" i="5"/>
  <c r="AK190" i="5" s="1"/>
  <c r="Z190" i="5"/>
  <c r="AA190" i="5" s="1"/>
  <c r="AT189" i="5"/>
  <c r="AS189" i="5"/>
  <c r="BH189" i="5" s="1"/>
  <c r="AJ189" i="5"/>
  <c r="AK189" i="5" s="1"/>
  <c r="Z189" i="5"/>
  <c r="AA189" i="5" s="1"/>
  <c r="Q189" i="5"/>
  <c r="BB188" i="5"/>
  <c r="BH188" i="5" s="1"/>
  <c r="BI188" i="5" s="1"/>
  <c r="AT188" i="5"/>
  <c r="AU188" i="5" s="1"/>
  <c r="AJ188" i="5"/>
  <c r="AK188" i="5" s="1"/>
  <c r="Z188" i="5"/>
  <c r="AA188" i="5" s="1"/>
  <c r="BH48" i="5"/>
  <c r="BI48" i="5" s="1"/>
  <c r="AT48" i="5"/>
  <c r="AU48" i="5" s="1"/>
  <c r="AJ48" i="5"/>
  <c r="AK48" i="5" s="1"/>
  <c r="Z48" i="5"/>
  <c r="AA48" i="5" s="1"/>
  <c r="BH51" i="5"/>
  <c r="BI51" i="5" s="1"/>
  <c r="AT51" i="5"/>
  <c r="AU51" i="5" s="1"/>
  <c r="AJ51" i="5"/>
  <c r="AK51" i="5" s="1"/>
  <c r="Z51" i="5"/>
  <c r="AA51" i="5" s="1"/>
  <c r="AT265" i="5"/>
  <c r="AU265" i="5" s="1"/>
  <c r="AJ265" i="5"/>
  <c r="AK265" i="5" s="1"/>
  <c r="Z265" i="5"/>
  <c r="Y265" i="5"/>
  <c r="BH265" i="5" s="1"/>
  <c r="Q265" i="5"/>
  <c r="BB159" i="5"/>
  <c r="BH159" i="5" s="1"/>
  <c r="BI159" i="5" s="1"/>
  <c r="AT159" i="5"/>
  <c r="AU159" i="5" s="1"/>
  <c r="AJ159" i="5"/>
  <c r="AK159" i="5" s="1"/>
  <c r="Z159" i="5"/>
  <c r="AA159" i="5" s="1"/>
  <c r="BH203" i="5"/>
  <c r="BI203" i="5" s="1"/>
  <c r="AT203" i="5"/>
  <c r="AU203" i="5" s="1"/>
  <c r="AJ203" i="5"/>
  <c r="AK203" i="5" s="1"/>
  <c r="Z203" i="5"/>
  <c r="AA203" i="5" s="1"/>
  <c r="BH161" i="5"/>
  <c r="BI161" i="5" s="1"/>
  <c r="AT161" i="5"/>
  <c r="AU161" i="5" s="1"/>
  <c r="AJ161" i="5"/>
  <c r="AK161" i="5" s="1"/>
  <c r="Z161" i="5"/>
  <c r="AA161" i="5" s="1"/>
  <c r="AT240" i="5"/>
  <c r="AS240" i="5"/>
  <c r="AJ240" i="5"/>
  <c r="AK240" i="5" s="1"/>
  <c r="Z240" i="5"/>
  <c r="Y240" i="5"/>
  <c r="Q240" i="5"/>
  <c r="AT7" i="5"/>
  <c r="AU7" i="5" s="1"/>
  <c r="AJ7" i="5"/>
  <c r="AK7" i="5" s="1"/>
  <c r="Z7" i="5"/>
  <c r="Y7" i="5"/>
  <c r="AT50" i="5"/>
  <c r="AS50" i="5"/>
  <c r="BH50" i="5" s="1"/>
  <c r="BI50" i="5" s="1"/>
  <c r="AJ50" i="5"/>
  <c r="AK50" i="5" s="1"/>
  <c r="Z50" i="5"/>
  <c r="AA50" i="5" s="1"/>
  <c r="Q50" i="5"/>
  <c r="BB49" i="5"/>
  <c r="BH49" i="5" s="1"/>
  <c r="BI49" i="5" s="1"/>
  <c r="AT49" i="5"/>
  <c r="AU49" i="5" s="1"/>
  <c r="AJ49" i="5"/>
  <c r="AK49" i="5" s="1"/>
  <c r="Z49" i="5"/>
  <c r="AA49" i="5" s="1"/>
  <c r="BH130" i="5"/>
  <c r="BI130" i="5" s="1"/>
  <c r="AO130" i="5"/>
  <c r="AT130" i="5" s="1"/>
  <c r="AU130" i="5" s="1"/>
  <c r="AJ130" i="5"/>
  <c r="AK130" i="5" s="1"/>
  <c r="Z130" i="5"/>
  <c r="AA130" i="5" s="1"/>
  <c r="Q130" i="5"/>
  <c r="BH47" i="5"/>
  <c r="BI47" i="5" s="1"/>
  <c r="AT47" i="5"/>
  <c r="AU47" i="5" s="1"/>
  <c r="AJ47" i="5"/>
  <c r="AK47" i="5" s="1"/>
  <c r="Z47" i="5"/>
  <c r="AA47" i="5" s="1"/>
  <c r="AM296" i="5"/>
  <c r="AT296" i="5" s="1"/>
  <c r="AJ296" i="5"/>
  <c r="AK296" i="5" s="1"/>
  <c r="S296" i="5"/>
  <c r="Z296" i="5" s="1"/>
  <c r="AA296" i="5" s="1"/>
  <c r="Q296" i="5"/>
  <c r="BH294" i="5"/>
  <c r="BI294" i="5" s="1"/>
  <c r="AT294" i="5"/>
  <c r="AU294" i="5" s="1"/>
  <c r="AJ294" i="5"/>
  <c r="AK294" i="5" s="1"/>
  <c r="Z294" i="5"/>
  <c r="AA294" i="5" s="1"/>
  <c r="BH270" i="5"/>
  <c r="BI270" i="5" s="1"/>
  <c r="AT270" i="5"/>
  <c r="AU270" i="5" s="1"/>
  <c r="AJ270" i="5"/>
  <c r="AK270" i="5" s="1"/>
  <c r="Z270" i="5"/>
  <c r="AA270" i="5" s="1"/>
  <c r="BH21" i="5"/>
  <c r="BI21" i="5" s="1"/>
  <c r="AT21" i="5"/>
  <c r="AU21" i="5" s="1"/>
  <c r="AJ21" i="5"/>
  <c r="AK21" i="5" s="1"/>
  <c r="Z21" i="5"/>
  <c r="AA21" i="5" s="1"/>
  <c r="BH292" i="5"/>
  <c r="BI292" i="5" s="1"/>
  <c r="AT292" i="5"/>
  <c r="AU292" i="5" s="1"/>
  <c r="AJ292" i="5"/>
  <c r="AK292" i="5" s="1"/>
  <c r="Z292" i="5"/>
  <c r="AA292" i="5" s="1"/>
  <c r="AT326" i="5"/>
  <c r="AS326" i="5"/>
  <c r="BH326" i="5" s="1"/>
  <c r="AJ326" i="5"/>
  <c r="AK326" i="5" s="1"/>
  <c r="Z326" i="5"/>
  <c r="AA326" i="5" s="1"/>
  <c r="Q326" i="5"/>
  <c r="AT325" i="5"/>
  <c r="AS325" i="5"/>
  <c r="AJ325" i="5"/>
  <c r="AK325" i="5" s="1"/>
  <c r="Z325" i="5"/>
  <c r="AA325" i="5" s="1"/>
  <c r="Q325" i="5"/>
  <c r="BH333" i="5"/>
  <c r="BI333" i="5" s="1"/>
  <c r="AT333" i="5"/>
  <c r="AU333" i="5" s="1"/>
  <c r="AJ333" i="5"/>
  <c r="AK333" i="5" s="1"/>
  <c r="Z333" i="5"/>
  <c r="AA333" i="5" s="1"/>
  <c r="BH322" i="5"/>
  <c r="BI322" i="5" s="1"/>
  <c r="AT322" i="5"/>
  <c r="AU322" i="5" s="1"/>
  <c r="AJ322" i="5"/>
  <c r="AK322" i="5" s="1"/>
  <c r="Z322" i="5"/>
  <c r="AA322" i="5" s="1"/>
  <c r="BH86" i="5"/>
  <c r="BI86" i="5" s="1"/>
  <c r="AT86" i="5"/>
  <c r="AU86" i="5" s="1"/>
  <c r="AJ86" i="5"/>
  <c r="AK86" i="5" s="1"/>
  <c r="Z86" i="5"/>
  <c r="AA86" i="5" s="1"/>
  <c r="BH321" i="5"/>
  <c r="BI321" i="5" s="1"/>
  <c r="AT321" i="5"/>
  <c r="AU321" i="5" s="1"/>
  <c r="AJ321" i="5"/>
  <c r="AK321" i="5" s="1"/>
  <c r="Z321" i="5"/>
  <c r="AA321" i="5" s="1"/>
  <c r="BH320" i="5"/>
  <c r="BI320" i="5" s="1"/>
  <c r="AT320" i="5"/>
  <c r="AU320" i="5" s="1"/>
  <c r="AJ320" i="5"/>
  <c r="AK320" i="5" s="1"/>
  <c r="Z320" i="5"/>
  <c r="AA320" i="5" s="1"/>
  <c r="AT267" i="5"/>
  <c r="AS267" i="5"/>
  <c r="BH267" i="5" s="1"/>
  <c r="AJ267" i="5"/>
  <c r="AK267" i="5" s="1"/>
  <c r="Z267" i="5"/>
  <c r="AA267" i="5" s="1"/>
  <c r="Q267" i="5"/>
  <c r="BH254" i="5"/>
  <c r="BI254" i="5" s="1"/>
  <c r="AT254" i="5"/>
  <c r="AU254" i="5" s="1"/>
  <c r="AJ254" i="5"/>
  <c r="AK254" i="5" s="1"/>
  <c r="Z254" i="5"/>
  <c r="AA254" i="5" s="1"/>
  <c r="BH211" i="5"/>
  <c r="BI211" i="5" s="1"/>
  <c r="AT211" i="5"/>
  <c r="AU211" i="5" s="1"/>
  <c r="AJ211" i="5"/>
  <c r="AK211" i="5" s="1"/>
  <c r="Z211" i="5"/>
  <c r="AA211" i="5" s="1"/>
  <c r="BH129" i="5"/>
  <c r="BI129" i="5" s="1"/>
  <c r="AT129" i="5"/>
  <c r="AU129" i="5" s="1"/>
  <c r="AJ129" i="5"/>
  <c r="AK129" i="5" s="1"/>
  <c r="Z129" i="5"/>
  <c r="AA129" i="5" s="1"/>
  <c r="BH210" i="5"/>
  <c r="BI210" i="5" s="1"/>
  <c r="AT210" i="5"/>
  <c r="AU210" i="5" s="1"/>
  <c r="AJ210" i="5"/>
  <c r="AK210" i="5" s="1"/>
  <c r="Z210" i="5"/>
  <c r="AA210" i="5" s="1"/>
  <c r="BH301" i="5"/>
  <c r="BI301" i="5" s="1"/>
  <c r="AT301" i="5"/>
  <c r="AU301" i="5" s="1"/>
  <c r="AJ301" i="5"/>
  <c r="AK301" i="5" s="1"/>
  <c r="Z301" i="5"/>
  <c r="AA301" i="5" s="1"/>
  <c r="BH151" i="5"/>
  <c r="BI151" i="5" s="1"/>
  <c r="AT151" i="5"/>
  <c r="AU151" i="5" s="1"/>
  <c r="AJ151" i="5"/>
  <c r="AK151" i="5" s="1"/>
  <c r="Z151" i="5"/>
  <c r="AA151" i="5" s="1"/>
  <c r="AT208" i="5"/>
  <c r="AU208" i="5" s="1"/>
  <c r="AJ208" i="5"/>
  <c r="AK208" i="5" s="1"/>
  <c r="Z208" i="5"/>
  <c r="Y208" i="5"/>
  <c r="Q208" i="5"/>
  <c r="BH215" i="5"/>
  <c r="BI215" i="5" s="1"/>
  <c r="AT215" i="5"/>
  <c r="AU215" i="5" s="1"/>
  <c r="AJ215" i="5"/>
  <c r="AK215" i="5" s="1"/>
  <c r="Z215" i="5"/>
  <c r="AA215" i="5" s="1"/>
  <c r="BH214" i="5"/>
  <c r="BI214" i="5" s="1"/>
  <c r="AT214" i="5"/>
  <c r="AU214" i="5" s="1"/>
  <c r="AJ214" i="5"/>
  <c r="AK214" i="5" s="1"/>
  <c r="Z214" i="5"/>
  <c r="AA214" i="5" s="1"/>
  <c r="AT169" i="5"/>
  <c r="AU169" i="5" s="1"/>
  <c r="BB169" i="5" s="1"/>
  <c r="BH169" i="5" s="1"/>
  <c r="BI169" i="5" s="1"/>
  <c r="AJ169" i="5"/>
  <c r="AK169" i="5" s="1"/>
  <c r="Z169" i="5"/>
  <c r="AA169" i="5" s="1"/>
  <c r="AT272" i="5"/>
  <c r="AU272" i="5" s="1"/>
  <c r="AJ272" i="5"/>
  <c r="AK272" i="5" s="1"/>
  <c r="Z272" i="5"/>
  <c r="Y272" i="5"/>
  <c r="BH272" i="5" s="1"/>
  <c r="Q272" i="5"/>
  <c r="BH316" i="5"/>
  <c r="BI316" i="5" s="1"/>
  <c r="AT316" i="5"/>
  <c r="AU316" i="5" s="1"/>
  <c r="AJ316" i="5"/>
  <c r="AK316" i="5" s="1"/>
  <c r="Z316" i="5"/>
  <c r="AA316" i="5" s="1"/>
  <c r="BH128" i="5"/>
  <c r="BI128" i="5" s="1"/>
  <c r="AT128" i="5"/>
  <c r="AU128" i="5" s="1"/>
  <c r="AJ128" i="5"/>
  <c r="AK128" i="5" s="1"/>
  <c r="Z128" i="5"/>
  <c r="AA128" i="5" s="1"/>
  <c r="BH331" i="5"/>
  <c r="BI331" i="5" s="1"/>
  <c r="AT331" i="5"/>
  <c r="AU331" i="5" s="1"/>
  <c r="AJ331" i="5"/>
  <c r="AK331" i="5" s="1"/>
  <c r="Z331" i="5"/>
  <c r="AA331" i="5" s="1"/>
  <c r="AT179" i="5"/>
  <c r="AS179" i="5"/>
  <c r="BH179" i="5" s="1"/>
  <c r="AJ179" i="5"/>
  <c r="AK179" i="5" s="1"/>
  <c r="Z179" i="5"/>
  <c r="AA179" i="5" s="1"/>
  <c r="Q179" i="5"/>
  <c r="BH71" i="5"/>
  <c r="BI71" i="5" s="1"/>
  <c r="AT71" i="5"/>
  <c r="AU71" i="5" s="1"/>
  <c r="AJ71" i="5"/>
  <c r="AK71" i="5" s="1"/>
  <c r="Z71" i="5"/>
  <c r="AA71" i="5" s="1"/>
  <c r="BH177" i="5"/>
  <c r="BI177" i="5" s="1"/>
  <c r="AT177" i="5"/>
  <c r="AU177" i="5" s="1"/>
  <c r="AJ177" i="5"/>
  <c r="AK177" i="5" s="1"/>
  <c r="Z177" i="5"/>
  <c r="AA177" i="5" s="1"/>
  <c r="AT262" i="5"/>
  <c r="AS262" i="5"/>
  <c r="BH262" i="5" s="1"/>
  <c r="AJ262" i="5"/>
  <c r="AK262" i="5" s="1"/>
  <c r="Z262" i="5"/>
  <c r="AA262" i="5" s="1"/>
  <c r="Q262" i="5"/>
  <c r="BH109" i="5"/>
  <c r="BI109" i="5" s="1"/>
  <c r="AT109" i="5"/>
  <c r="AU109" i="5" s="1"/>
  <c r="AJ109" i="5"/>
  <c r="AK109" i="5" s="1"/>
  <c r="Z109" i="5"/>
  <c r="AA109" i="5" s="1"/>
  <c r="BH79" i="5"/>
  <c r="BI79" i="5" s="1"/>
  <c r="AT79" i="5"/>
  <c r="AU79" i="5" s="1"/>
  <c r="AJ79" i="5"/>
  <c r="AK79" i="5" s="1"/>
  <c r="Z79" i="5"/>
  <c r="AA79" i="5" s="1"/>
  <c r="BH317" i="5"/>
  <c r="BI317" i="5" s="1"/>
  <c r="AT317" i="5"/>
  <c r="AU317" i="5" s="1"/>
  <c r="AJ317" i="5"/>
  <c r="AK317" i="5" s="1"/>
  <c r="Z317" i="5"/>
  <c r="AA317" i="5" s="1"/>
  <c r="AT245" i="5"/>
  <c r="AU245" i="5" s="1"/>
  <c r="BB245" i="5" s="1"/>
  <c r="BH245" i="5" s="1"/>
  <c r="BI245" i="5" s="1"/>
  <c r="AJ245" i="5"/>
  <c r="AK245" i="5" s="1"/>
  <c r="Z245" i="5"/>
  <c r="AA245" i="5" s="1"/>
  <c r="AT87" i="5"/>
  <c r="AS87" i="5"/>
  <c r="BH87" i="5" s="1"/>
  <c r="AJ87" i="5"/>
  <c r="AK87" i="5" s="1"/>
  <c r="Z87" i="5"/>
  <c r="AA87" i="5" s="1"/>
  <c r="Q87" i="5"/>
  <c r="BH311" i="5"/>
  <c r="BI311" i="5" s="1"/>
  <c r="AT311" i="5"/>
  <c r="AU311" i="5" s="1"/>
  <c r="AJ311" i="5"/>
  <c r="AK311" i="5" s="1"/>
  <c r="Z311" i="5"/>
  <c r="AA311" i="5" s="1"/>
  <c r="BH85" i="5"/>
  <c r="BI85" i="5" s="1"/>
  <c r="AT85" i="5"/>
  <c r="AU85" i="5" s="1"/>
  <c r="AJ85" i="5"/>
  <c r="AK85" i="5" s="1"/>
  <c r="Z85" i="5"/>
  <c r="AA85" i="5" s="1"/>
  <c r="AT82" i="5"/>
  <c r="AS82" i="5"/>
  <c r="AJ82" i="5"/>
  <c r="AK82" i="5" s="1"/>
  <c r="Z82" i="5"/>
  <c r="AA82" i="5" s="1"/>
  <c r="Q82" i="5"/>
  <c r="AT119" i="5"/>
  <c r="AS119" i="5"/>
  <c r="BH119" i="5" s="1"/>
  <c r="AJ119" i="5"/>
  <c r="AK119" i="5" s="1"/>
  <c r="Z119" i="5"/>
  <c r="AA119" i="5" s="1"/>
  <c r="Q119" i="5"/>
  <c r="AT118" i="5"/>
  <c r="AS118" i="5"/>
  <c r="AJ118" i="5"/>
  <c r="AK118" i="5" s="1"/>
  <c r="Z118" i="5"/>
  <c r="AA118" i="5" s="1"/>
  <c r="Q118" i="5"/>
  <c r="BH308" i="5"/>
  <c r="BI308" i="5" s="1"/>
  <c r="AT308" i="5"/>
  <c r="AU308" i="5" s="1"/>
  <c r="AJ308" i="5"/>
  <c r="AK308" i="5" s="1"/>
  <c r="Z308" i="5"/>
  <c r="AA308" i="5" s="1"/>
  <c r="BH205" i="5"/>
  <c r="BI205" i="5" s="1"/>
  <c r="AT205" i="5"/>
  <c r="AU205" i="5" s="1"/>
  <c r="AJ205" i="5"/>
  <c r="AK205" i="5" s="1"/>
  <c r="Z205" i="5"/>
  <c r="AA205" i="5" s="1"/>
  <c r="BH243" i="5"/>
  <c r="BI243" i="5" s="1"/>
  <c r="AT243" i="5"/>
  <c r="AU243" i="5" s="1"/>
  <c r="AJ243" i="5"/>
  <c r="AK243" i="5" s="1"/>
  <c r="Z243" i="5"/>
  <c r="AA243" i="5" s="1"/>
  <c r="BH247" i="5"/>
  <c r="BI247" i="5" s="1"/>
  <c r="AT247" i="5"/>
  <c r="AU247" i="5" s="1"/>
  <c r="AJ247" i="5"/>
  <c r="AK247" i="5" s="1"/>
  <c r="Z247" i="5"/>
  <c r="AA247" i="5" s="1"/>
  <c r="BH309" i="5"/>
  <c r="BI309" i="5" s="1"/>
  <c r="AT309" i="5"/>
  <c r="AU309" i="5" s="1"/>
  <c r="AJ309" i="5"/>
  <c r="AK309" i="5" s="1"/>
  <c r="Z309" i="5"/>
  <c r="AA309" i="5" s="1"/>
  <c r="AT113" i="5"/>
  <c r="AS113" i="5"/>
  <c r="BH113" i="5" s="1"/>
  <c r="AJ113" i="5"/>
  <c r="AK113" i="5" s="1"/>
  <c r="Z113" i="5"/>
  <c r="AA113" i="5" s="1"/>
  <c r="Q113" i="5"/>
  <c r="AT53" i="5"/>
  <c r="AU53" i="5" s="1"/>
  <c r="BB53" i="5" s="1"/>
  <c r="BH53" i="5" s="1"/>
  <c r="BI53" i="5" s="1"/>
  <c r="AJ53" i="5"/>
  <c r="AK53" i="5" s="1"/>
  <c r="Z53" i="5"/>
  <c r="AA53" i="5" s="1"/>
  <c r="BH111" i="5"/>
  <c r="BI111" i="5" s="1"/>
  <c r="AT111" i="5"/>
  <c r="AU111" i="5" s="1"/>
  <c r="AJ111" i="5"/>
  <c r="AK111" i="5" s="1"/>
  <c r="Z111" i="5"/>
  <c r="AA111" i="5" s="1"/>
  <c r="BH73" i="5"/>
  <c r="BI73" i="5" s="1"/>
  <c r="AT73" i="5"/>
  <c r="AU73" i="5" s="1"/>
  <c r="AJ73" i="5"/>
  <c r="AK73" i="5" s="1"/>
  <c r="Z73" i="5"/>
  <c r="AA73" i="5" s="1"/>
  <c r="AT236" i="5"/>
  <c r="AS236" i="5"/>
  <c r="BH236" i="5" s="1"/>
  <c r="AJ236" i="5"/>
  <c r="AK236" i="5" s="1"/>
  <c r="Z236" i="5"/>
  <c r="AA236" i="5" s="1"/>
  <c r="Q236" i="5"/>
  <c r="BH89" i="5"/>
  <c r="BI89" i="5" s="1"/>
  <c r="AT89" i="5"/>
  <c r="AU89" i="5" s="1"/>
  <c r="AJ89" i="5"/>
  <c r="AK89" i="5" s="1"/>
  <c r="Z89" i="5"/>
  <c r="AA89" i="5" s="1"/>
  <c r="BH229" i="5"/>
  <c r="BI229" i="5" s="1"/>
  <c r="AT229" i="5"/>
  <c r="AU229" i="5" s="1"/>
  <c r="AJ229" i="5"/>
  <c r="AK229" i="5" s="1"/>
  <c r="Z229" i="5"/>
  <c r="AA229" i="5" s="1"/>
  <c r="BH279" i="5"/>
  <c r="BI279" i="5" s="1"/>
  <c r="AT279" i="5"/>
  <c r="AU279" i="5" s="1"/>
  <c r="AJ279" i="5"/>
  <c r="AK279" i="5" s="1"/>
  <c r="Z279" i="5"/>
  <c r="AA279" i="5" s="1"/>
  <c r="BH227" i="5"/>
  <c r="BI227" i="5" s="1"/>
  <c r="AT227" i="5"/>
  <c r="AU227" i="5" s="1"/>
  <c r="AJ227" i="5"/>
  <c r="AK227" i="5" s="1"/>
  <c r="Z227" i="5"/>
  <c r="AA227" i="5" s="1"/>
  <c r="BH5" i="5"/>
  <c r="BI5" i="5" s="1"/>
  <c r="AT5" i="5"/>
  <c r="AU5" i="5" s="1"/>
  <c r="AJ5" i="5"/>
  <c r="AK5" i="5" s="1"/>
  <c r="Z5" i="5"/>
  <c r="AA5" i="5" s="1"/>
  <c r="BH76" i="5"/>
  <c r="AT76" i="5"/>
  <c r="AU76" i="5" s="1"/>
  <c r="AJ76" i="5"/>
  <c r="AK76" i="5" s="1"/>
  <c r="Z76" i="5"/>
  <c r="AA76" i="5" s="1"/>
  <c r="Q76" i="5"/>
  <c r="AT237" i="5"/>
  <c r="AS237" i="5"/>
  <c r="BH237" i="5" s="1"/>
  <c r="AJ237" i="5"/>
  <c r="AK237" i="5" s="1"/>
  <c r="Z237" i="5"/>
  <c r="AA237" i="5" s="1"/>
  <c r="Q237" i="5"/>
  <c r="AT332" i="5"/>
  <c r="AS332" i="5"/>
  <c r="AJ332" i="5"/>
  <c r="AK332" i="5" s="1"/>
  <c r="Z332" i="5"/>
  <c r="Y332" i="5"/>
  <c r="Q332" i="5"/>
  <c r="BH195" i="5"/>
  <c r="BI195" i="5" s="1"/>
  <c r="AT195" i="5"/>
  <c r="AU195" i="5" s="1"/>
  <c r="AJ195" i="5"/>
  <c r="AK195" i="5" s="1"/>
  <c r="Z195" i="5"/>
  <c r="AA195" i="5" s="1"/>
  <c r="BH107" i="5"/>
  <c r="BI107" i="5" s="1"/>
  <c r="AT107" i="5"/>
  <c r="AU107" i="5" s="1"/>
  <c r="AJ107" i="5"/>
  <c r="AK107" i="5" s="1"/>
  <c r="Z107" i="5"/>
  <c r="AA107" i="5" s="1"/>
  <c r="BH293" i="5"/>
  <c r="BI293" i="5" s="1"/>
  <c r="AT293" i="5"/>
  <c r="AU293" i="5" s="1"/>
  <c r="AJ293" i="5"/>
  <c r="AK293" i="5" s="1"/>
  <c r="Z293" i="5"/>
  <c r="AA293" i="5" s="1"/>
  <c r="BH105" i="5"/>
  <c r="BI105" i="5" s="1"/>
  <c r="AT105" i="5"/>
  <c r="AU105" i="5" s="1"/>
  <c r="AJ105" i="5"/>
  <c r="AK105" i="5" s="1"/>
  <c r="Z105" i="5"/>
  <c r="AA105" i="5" s="1"/>
  <c r="AT209" i="5"/>
  <c r="AS209" i="5"/>
  <c r="BH209" i="5" s="1"/>
  <c r="AJ209" i="5"/>
  <c r="AK209" i="5" s="1"/>
  <c r="Z209" i="5"/>
  <c r="AA209" i="5" s="1"/>
  <c r="Q209" i="5"/>
  <c r="BH125" i="5"/>
  <c r="BI125" i="5" s="1"/>
  <c r="AT125" i="5"/>
  <c r="AU125" i="5" s="1"/>
  <c r="AJ125" i="5"/>
  <c r="AK125" i="5" s="1"/>
  <c r="Z125" i="5"/>
  <c r="AA125" i="5" s="1"/>
  <c r="BD3" i="5"/>
  <c r="BH3" i="5" s="1"/>
  <c r="BI3" i="5" s="1"/>
  <c r="AT3" i="5"/>
  <c r="AU3" i="5" s="1"/>
  <c r="AJ3" i="5"/>
  <c r="AK3" i="5" s="1"/>
  <c r="Z3" i="5"/>
  <c r="AA3" i="5" s="1"/>
  <c r="BD2" i="5"/>
  <c r="BH2" i="5" s="1"/>
  <c r="AT2" i="5"/>
  <c r="AU2" i="5" s="1"/>
  <c r="AJ2" i="5"/>
  <c r="AK2" i="5" s="1"/>
  <c r="Z2" i="5"/>
  <c r="AA2" i="5" s="1"/>
  <c r="AT174" i="5"/>
  <c r="AS174" i="5"/>
  <c r="BH174" i="5" s="1"/>
  <c r="AJ174" i="5"/>
  <c r="AK174" i="5" s="1"/>
  <c r="Z174" i="5"/>
  <c r="AA174" i="5" s="1"/>
  <c r="Q174" i="5"/>
  <c r="AT173" i="5"/>
  <c r="AS173" i="5"/>
  <c r="AJ173" i="5"/>
  <c r="AK173" i="5" s="1"/>
  <c r="Z173" i="5"/>
  <c r="AA173" i="5" s="1"/>
  <c r="Q173" i="5"/>
  <c r="BH172" i="5"/>
  <c r="AT172" i="5"/>
  <c r="AU172" i="5" s="1"/>
  <c r="AJ172" i="5"/>
  <c r="AK172" i="5" s="1"/>
  <c r="Z172" i="5"/>
  <c r="AA172" i="5" s="1"/>
  <c r="Q172" i="5"/>
  <c r="BH171" i="5"/>
  <c r="BI171" i="5" s="1"/>
  <c r="AT171" i="5"/>
  <c r="AU171" i="5" s="1"/>
  <c r="AJ171" i="5"/>
  <c r="AK171" i="5" s="1"/>
  <c r="Z171" i="5"/>
  <c r="AA171" i="5" s="1"/>
  <c r="BH327" i="5"/>
  <c r="BI327" i="5" s="1"/>
  <c r="AT327" i="5"/>
  <c r="AU327" i="5" s="1"/>
  <c r="AJ327" i="5"/>
  <c r="AK327" i="5" s="1"/>
  <c r="Z327" i="5"/>
  <c r="AA327" i="5" s="1"/>
  <c r="BH135" i="5"/>
  <c r="BI135" i="5" s="1"/>
  <c r="AT135" i="5"/>
  <c r="AU135" i="5" s="1"/>
  <c r="AJ135" i="5"/>
  <c r="AK135" i="5" s="1"/>
  <c r="Z135" i="5"/>
  <c r="AA135" i="5" s="1"/>
  <c r="BH115" i="5"/>
  <c r="BI115" i="5" s="1"/>
  <c r="AT115" i="5"/>
  <c r="AU115" i="5" s="1"/>
  <c r="AJ115" i="5"/>
  <c r="AK115" i="5" s="1"/>
  <c r="Z115" i="5"/>
  <c r="AA115" i="5" s="1"/>
  <c r="BH212" i="5"/>
  <c r="BI212" i="5" s="1"/>
  <c r="AT212" i="5"/>
  <c r="AU212" i="5" s="1"/>
  <c r="AJ212" i="5"/>
  <c r="AK212" i="5" s="1"/>
  <c r="Z212" i="5"/>
  <c r="AA212" i="5" s="1"/>
  <c r="AT271" i="5"/>
  <c r="AS271" i="5"/>
  <c r="BH271" i="5" s="1"/>
  <c r="AJ271" i="5"/>
  <c r="AK271" i="5" s="1"/>
  <c r="Z271" i="5"/>
  <c r="AA271" i="5" s="1"/>
  <c r="Q271" i="5"/>
  <c r="BH269" i="5"/>
  <c r="BI269" i="5" s="1"/>
  <c r="AT269" i="5"/>
  <c r="AU269" i="5" s="1"/>
  <c r="AJ269" i="5"/>
  <c r="AK269" i="5" s="1"/>
  <c r="Z269" i="5"/>
  <c r="AA269" i="5" s="1"/>
  <c r="BH284" i="5"/>
  <c r="BI284" i="5" s="1"/>
  <c r="AT284" i="5"/>
  <c r="AU284" i="5" s="1"/>
  <c r="AJ284" i="5"/>
  <c r="AK284" i="5" s="1"/>
  <c r="Z284" i="5"/>
  <c r="AA284" i="5" s="1"/>
  <c r="BH300" i="5"/>
  <c r="BI300" i="5" s="1"/>
  <c r="AT300" i="5"/>
  <c r="AU300" i="5" s="1"/>
  <c r="AJ300" i="5"/>
  <c r="AK300" i="5" s="1"/>
  <c r="Z300" i="5"/>
  <c r="AA300" i="5" s="1"/>
  <c r="BH153" i="5"/>
  <c r="BI153" i="5" s="1"/>
  <c r="AT153" i="5"/>
  <c r="AU153" i="5" s="1"/>
  <c r="AJ153" i="5"/>
  <c r="AK153" i="5" s="1"/>
  <c r="Z153" i="5"/>
  <c r="AA153" i="5" s="1"/>
  <c r="BH277" i="5"/>
  <c r="BI277" i="5" s="1"/>
  <c r="AT277" i="5"/>
  <c r="AU277" i="5" s="1"/>
  <c r="AJ277" i="5"/>
  <c r="AK277" i="5" s="1"/>
  <c r="Z277" i="5"/>
  <c r="AA277" i="5" s="1"/>
  <c r="BH58" i="5"/>
  <c r="AT58" i="5"/>
  <c r="AU58" i="5" s="1"/>
  <c r="AJ58" i="5"/>
  <c r="AK58" i="5" s="1"/>
  <c r="Z58" i="5"/>
  <c r="AA58" i="5" s="1"/>
  <c r="Q58" i="5"/>
  <c r="AT204" i="5"/>
  <c r="AS204" i="5"/>
  <c r="BH204" i="5" s="1"/>
  <c r="AJ204" i="5"/>
  <c r="AK204" i="5" s="1"/>
  <c r="Z204" i="5"/>
  <c r="AA204" i="5" s="1"/>
  <c r="Q204" i="5"/>
  <c r="BH75" i="5"/>
  <c r="BI75" i="5" s="1"/>
  <c r="AT75" i="5"/>
  <c r="AU75" i="5" s="1"/>
  <c r="AJ75" i="5"/>
  <c r="AK75" i="5" s="1"/>
  <c r="Z75" i="5"/>
  <c r="AA75" i="5" s="1"/>
  <c r="AT12" i="5"/>
  <c r="AS12" i="5"/>
  <c r="BH12" i="5" s="1"/>
  <c r="AJ12" i="5"/>
  <c r="AK12" i="5" s="1"/>
  <c r="Z12" i="5"/>
  <c r="AA12" i="5" s="1"/>
  <c r="Q12" i="5"/>
  <c r="AT226" i="5"/>
  <c r="AS226" i="5"/>
  <c r="BH226" i="5" s="1"/>
  <c r="AJ226" i="5"/>
  <c r="AK226" i="5" s="1"/>
  <c r="Z226" i="5"/>
  <c r="AA226" i="5" s="1"/>
  <c r="Q226" i="5"/>
  <c r="BH93" i="5"/>
  <c r="BI93" i="5" s="1"/>
  <c r="AT93" i="5"/>
  <c r="AU93" i="5" s="1"/>
  <c r="AJ93" i="5"/>
  <c r="AK93" i="5" s="1"/>
  <c r="Z93" i="5"/>
  <c r="AA93" i="5" s="1"/>
  <c r="BB224" i="5"/>
  <c r="BH224" i="5" s="1"/>
  <c r="AT224" i="5"/>
  <c r="AU224" i="5" s="1"/>
  <c r="AJ224" i="5"/>
  <c r="AK224" i="5" s="1"/>
  <c r="Z224" i="5"/>
  <c r="AA224" i="5" s="1"/>
  <c r="Q224" i="5"/>
  <c r="AT234" i="5"/>
  <c r="AS234" i="5"/>
  <c r="BH234" i="5" s="1"/>
  <c r="BI234" i="5" s="1"/>
  <c r="AJ234" i="5"/>
  <c r="AK234" i="5" s="1"/>
  <c r="Z234" i="5"/>
  <c r="AA234" i="5" s="1"/>
  <c r="BH103" i="5"/>
  <c r="BI103" i="5" s="1"/>
  <c r="AT103" i="5"/>
  <c r="AU103" i="5" s="1"/>
  <c r="AJ103" i="5"/>
  <c r="AK103" i="5" s="1"/>
  <c r="Z103" i="5"/>
  <c r="AA103" i="5" s="1"/>
  <c r="AT232" i="5"/>
  <c r="AS232" i="5"/>
  <c r="BH232" i="5" s="1"/>
  <c r="BI232" i="5" s="1"/>
  <c r="AJ232" i="5"/>
  <c r="AK232" i="5" s="1"/>
  <c r="Z232" i="5"/>
  <c r="AA232" i="5" s="1"/>
  <c r="BH289" i="5"/>
  <c r="BI289" i="5" s="1"/>
  <c r="AT289" i="5"/>
  <c r="AU289" i="5" s="1"/>
  <c r="AJ289" i="5"/>
  <c r="AK289" i="5" s="1"/>
  <c r="Z289" i="5"/>
  <c r="AA289" i="5" s="1"/>
  <c r="AT6" i="5"/>
  <c r="AS6" i="5"/>
  <c r="BH6" i="5" s="1"/>
  <c r="BI6" i="5" s="1"/>
  <c r="AJ6" i="5"/>
  <c r="AK6" i="5" s="1"/>
  <c r="Z6" i="5"/>
  <c r="AA6" i="5" s="1"/>
  <c r="AT124" i="5"/>
  <c r="AS124" i="5"/>
  <c r="BH124" i="5" s="1"/>
  <c r="AJ124" i="5"/>
  <c r="AK124" i="5" s="1"/>
  <c r="W124" i="5"/>
  <c r="U124" i="5"/>
  <c r="Z124" i="5" s="1"/>
  <c r="AA124" i="5" s="1"/>
  <c r="Q124" i="5"/>
  <c r="BH257" i="5"/>
  <c r="BI257" i="5" s="1"/>
  <c r="AT257" i="5"/>
  <c r="AU257" i="5" s="1"/>
  <c r="AJ257" i="5"/>
  <c r="AK257" i="5" s="1"/>
  <c r="Z257" i="5"/>
  <c r="AA257" i="5" s="1"/>
  <c r="BH318" i="5"/>
  <c r="BI318" i="5" s="1"/>
  <c r="AT318" i="5"/>
  <c r="AU318" i="5" s="1"/>
  <c r="AJ318" i="5"/>
  <c r="AK318" i="5" s="1"/>
  <c r="Z318" i="5"/>
  <c r="AA318" i="5" s="1"/>
  <c r="AT238" i="5"/>
  <c r="AS238" i="5"/>
  <c r="BH238" i="5" s="1"/>
  <c r="AJ238" i="5"/>
  <c r="AK238" i="5" s="1"/>
  <c r="Z238" i="5"/>
  <c r="AA238" i="5" s="1"/>
  <c r="Q238" i="5"/>
  <c r="BH120" i="5"/>
  <c r="BI120" i="5" s="1"/>
  <c r="AT120" i="5"/>
  <c r="AU120" i="5" s="1"/>
  <c r="AJ120" i="5"/>
  <c r="AK120" i="5" s="1"/>
  <c r="Z120" i="5"/>
  <c r="AA120" i="5" s="1"/>
  <c r="BH207" i="5"/>
  <c r="BI207" i="5" s="1"/>
  <c r="AT207" i="5"/>
  <c r="AU207" i="5" s="1"/>
  <c r="AJ207" i="5"/>
  <c r="AK207" i="5" s="1"/>
  <c r="Z207" i="5"/>
  <c r="AA207" i="5" s="1"/>
  <c r="BH206" i="5"/>
  <c r="BI206" i="5" s="1"/>
  <c r="AT206" i="5"/>
  <c r="AU206" i="5" s="1"/>
  <c r="AJ206" i="5"/>
  <c r="AK206" i="5" s="1"/>
  <c r="Z206" i="5"/>
  <c r="AA206" i="5" s="1"/>
  <c r="BH197" i="5"/>
  <c r="BI197" i="5" s="1"/>
  <c r="AT197" i="5"/>
  <c r="AU197" i="5" s="1"/>
  <c r="AJ197" i="5"/>
  <c r="AK197" i="5" s="1"/>
  <c r="Z197" i="5"/>
  <c r="AA197" i="5" s="1"/>
  <c r="BH56" i="5"/>
  <c r="BI56" i="5" s="1"/>
  <c r="AT56" i="5"/>
  <c r="AU56" i="5" s="1"/>
  <c r="AJ56" i="5"/>
  <c r="AK56" i="5" s="1"/>
  <c r="Z56" i="5"/>
  <c r="AA56" i="5" s="1"/>
  <c r="BH72" i="5"/>
  <c r="BI72" i="5" s="1"/>
  <c r="AT72" i="5"/>
  <c r="AU72" i="5" s="1"/>
  <c r="AJ72" i="5"/>
  <c r="AK72" i="5" s="1"/>
  <c r="Z72" i="5"/>
  <c r="AA72" i="5" s="1"/>
  <c r="AM249" i="5"/>
  <c r="AT249" i="5" s="1"/>
  <c r="AJ249" i="5"/>
  <c r="AK249" i="5" s="1"/>
  <c r="W249" i="5"/>
  <c r="U249" i="5"/>
  <c r="S249" i="5"/>
  <c r="Z249" i="5" s="1"/>
  <c r="AA249" i="5" s="1"/>
  <c r="Q249" i="5"/>
  <c r="AT248" i="5"/>
  <c r="AS248" i="5"/>
  <c r="BH248" i="5" s="1"/>
  <c r="AJ248" i="5"/>
  <c r="AK248" i="5" s="1"/>
  <c r="Z248" i="5"/>
  <c r="AA248" i="5" s="1"/>
  <c r="W248" i="5"/>
  <c r="U248" i="5"/>
  <c r="S248" i="5"/>
  <c r="Q248" i="5"/>
  <c r="BH191" i="5"/>
  <c r="BI191" i="5" s="1"/>
  <c r="AT191" i="5"/>
  <c r="AU191" i="5" s="1"/>
  <c r="AJ191" i="5"/>
  <c r="AK191" i="5" s="1"/>
  <c r="Z191" i="5"/>
  <c r="AA191" i="5" s="1"/>
  <c r="AT176" i="5"/>
  <c r="AS176" i="5"/>
  <c r="BH176" i="5" s="1"/>
  <c r="AJ176" i="5"/>
  <c r="AK176" i="5" s="1"/>
  <c r="Z176" i="5"/>
  <c r="AA176" i="5" s="1"/>
  <c r="Q176" i="5"/>
  <c r="AT175" i="5"/>
  <c r="AU175" i="5" s="1"/>
  <c r="AJ175" i="5"/>
  <c r="AK175" i="5" s="1"/>
  <c r="Z175" i="5"/>
  <c r="Y175" i="5"/>
  <c r="BH175" i="5" s="1"/>
  <c r="BI175" i="5" s="1"/>
  <c r="AT255" i="5"/>
  <c r="AS255" i="5"/>
  <c r="BH255" i="5" s="1"/>
  <c r="AJ255" i="5"/>
  <c r="AK255" i="5" s="1"/>
  <c r="Z255" i="5"/>
  <c r="AA255" i="5" s="1"/>
  <c r="Q255" i="5"/>
  <c r="BH312" i="5"/>
  <c r="BI312" i="5" s="1"/>
  <c r="AT312" i="5"/>
  <c r="AU312" i="5" s="1"/>
  <c r="AJ312" i="5"/>
  <c r="AK312" i="5" s="1"/>
  <c r="Z312" i="5"/>
  <c r="AA312" i="5" s="1"/>
  <c r="AT98" i="5"/>
  <c r="AS98" i="5"/>
  <c r="BH98" i="5" s="1"/>
  <c r="AJ98" i="5"/>
  <c r="AK98" i="5" s="1"/>
  <c r="Z98" i="5"/>
  <c r="AA98" i="5" s="1"/>
  <c r="Q98" i="5"/>
  <c r="BH266" i="5"/>
  <c r="BI266" i="5" s="1"/>
  <c r="AT266" i="5"/>
  <c r="AU266" i="5" s="1"/>
  <c r="AJ266" i="5"/>
  <c r="AK266" i="5" s="1"/>
  <c r="Z266" i="5"/>
  <c r="AA266" i="5" s="1"/>
  <c r="BH35" i="5"/>
  <c r="BI35" i="5" s="1"/>
  <c r="AT35" i="5"/>
  <c r="AU35" i="5" s="1"/>
  <c r="AJ35" i="5"/>
  <c r="AK35" i="5" s="1"/>
  <c r="Z35" i="5"/>
  <c r="AA35" i="5" s="1"/>
  <c r="BH40" i="5"/>
  <c r="BI40" i="5" s="1"/>
  <c r="AT40" i="5"/>
  <c r="AU40" i="5" s="1"/>
  <c r="AJ40" i="5"/>
  <c r="AK40" i="5" s="1"/>
  <c r="Z40" i="5"/>
  <c r="AA40" i="5" s="1"/>
  <c r="AT288" i="5"/>
  <c r="AS288" i="5"/>
  <c r="BH288" i="5" s="1"/>
  <c r="AJ288" i="5"/>
  <c r="AK288" i="5" s="1"/>
  <c r="Z288" i="5"/>
  <c r="AA288" i="5" s="1"/>
  <c r="Q288" i="5"/>
  <c r="AT287" i="5"/>
  <c r="AS287" i="5"/>
  <c r="BH287" i="5" s="1"/>
  <c r="AJ287" i="5"/>
  <c r="AK287" i="5" s="1"/>
  <c r="Z287" i="5"/>
  <c r="AA287" i="5" s="1"/>
  <c r="Q287" i="5"/>
  <c r="AT286" i="5"/>
  <c r="AS286" i="5"/>
  <c r="BH286" i="5" s="1"/>
  <c r="BI286" i="5" s="1"/>
  <c r="AJ286" i="5"/>
  <c r="AK286" i="5" s="1"/>
  <c r="Z286" i="5"/>
  <c r="AA286" i="5" s="1"/>
  <c r="Q286" i="5"/>
  <c r="BH127" i="5"/>
  <c r="BI127" i="5" s="1"/>
  <c r="AT127" i="5"/>
  <c r="AU127" i="5" s="1"/>
  <c r="AJ127" i="5"/>
  <c r="AK127" i="5" s="1"/>
  <c r="Z127" i="5"/>
  <c r="AA127" i="5" s="1"/>
  <c r="BH117" i="5"/>
  <c r="BI117" i="5" s="1"/>
  <c r="AM117" i="5"/>
  <c r="AT117" i="5" s="1"/>
  <c r="AU117" i="5" s="1"/>
  <c r="AJ117" i="5"/>
  <c r="AK117" i="5" s="1"/>
  <c r="Z117" i="5"/>
  <c r="AA117" i="5" s="1"/>
  <c r="Q117" i="5"/>
  <c r="BH283" i="5"/>
  <c r="BI283" i="5" s="1"/>
  <c r="AT283" i="5"/>
  <c r="AU283" i="5" s="1"/>
  <c r="AJ283" i="5"/>
  <c r="AK283" i="5" s="1"/>
  <c r="Z283" i="5"/>
  <c r="AA283" i="5" s="1"/>
  <c r="BH282" i="5"/>
  <c r="BI282" i="5" s="1"/>
  <c r="AT282" i="5"/>
  <c r="AU282" i="5" s="1"/>
  <c r="AJ282" i="5"/>
  <c r="AK282" i="5" s="1"/>
  <c r="Z282" i="5"/>
  <c r="AA282" i="5" s="1"/>
  <c r="AT235" i="5"/>
  <c r="AS235" i="5"/>
  <c r="BH235" i="5" s="1"/>
  <c r="AJ235" i="5"/>
  <c r="AK235" i="5" s="1"/>
  <c r="Z235" i="5"/>
  <c r="AA235" i="5" s="1"/>
  <c r="Q235" i="5"/>
  <c r="AT36" i="5"/>
  <c r="AS36" i="5"/>
  <c r="BH36" i="5" s="1"/>
  <c r="AJ36" i="5"/>
  <c r="AK36" i="5" s="1"/>
  <c r="Z36" i="5"/>
  <c r="AA36" i="5" s="1"/>
  <c r="Q36" i="5"/>
  <c r="BH156" i="5"/>
  <c r="BI156" i="5" s="1"/>
  <c r="AT156" i="5"/>
  <c r="AU156" i="5" s="1"/>
  <c r="AJ156" i="5"/>
  <c r="AK156" i="5" s="1"/>
  <c r="Z156" i="5"/>
  <c r="AA156" i="5" s="1"/>
  <c r="AT253" i="5"/>
  <c r="AS253" i="5"/>
  <c r="BH253" i="5" s="1"/>
  <c r="AJ253" i="5"/>
  <c r="AK253" i="5" s="1"/>
  <c r="Z253" i="5"/>
  <c r="AA253" i="5" s="1"/>
  <c r="Q253" i="5"/>
  <c r="AM252" i="5"/>
  <c r="AT252" i="5" s="1"/>
  <c r="AJ252" i="5"/>
  <c r="AK252" i="5" s="1"/>
  <c r="S252" i="5"/>
  <c r="Z252" i="5" s="1"/>
  <c r="AA252" i="5" s="1"/>
  <c r="Q252" i="5"/>
  <c r="AT43" i="5"/>
  <c r="AS43" i="5"/>
  <c r="BH43" i="5" s="1"/>
  <c r="BI43" i="5" s="1"/>
  <c r="AJ43" i="5"/>
  <c r="AK43" i="5" s="1"/>
  <c r="Z43" i="5"/>
  <c r="AA43" i="5" s="1"/>
  <c r="AT90" i="5"/>
  <c r="AS90" i="5"/>
  <c r="BH90" i="5" s="1"/>
  <c r="BI90" i="5" s="1"/>
  <c r="AJ90" i="5"/>
  <c r="AK90" i="5" s="1"/>
  <c r="Z90" i="5"/>
  <c r="AA90" i="5" s="1"/>
  <c r="Q90" i="5"/>
  <c r="BH14" i="5"/>
  <c r="BI14" i="5" s="1"/>
  <c r="AT14" i="5"/>
  <c r="AU14" i="5" s="1"/>
  <c r="AJ14" i="5"/>
  <c r="AK14" i="5" s="1"/>
  <c r="Z14" i="5"/>
  <c r="AA14" i="5" s="1"/>
  <c r="BH122" i="5"/>
  <c r="BI122" i="5" s="1"/>
  <c r="AT122" i="5"/>
  <c r="AU122" i="5" s="1"/>
  <c r="AJ122" i="5"/>
  <c r="AK122" i="5" s="1"/>
  <c r="Z122" i="5"/>
  <c r="AA122" i="5" s="1"/>
  <c r="BH166" i="5"/>
  <c r="BI166" i="5" s="1"/>
  <c r="AT166" i="5"/>
  <c r="AU166" i="5" s="1"/>
  <c r="AJ166" i="5"/>
  <c r="AK166" i="5" s="1"/>
  <c r="Z166" i="5"/>
  <c r="AA166" i="5" s="1"/>
  <c r="BH184" i="5"/>
  <c r="BI184" i="5" s="1"/>
  <c r="AT184" i="5"/>
  <c r="AU184" i="5" s="1"/>
  <c r="AJ184" i="5"/>
  <c r="AK184" i="5" s="1"/>
  <c r="Z184" i="5"/>
  <c r="AA184" i="5" s="1"/>
  <c r="AT84" i="5"/>
  <c r="AS84" i="5"/>
  <c r="BH84" i="5" s="1"/>
  <c r="AJ84" i="5"/>
  <c r="AK84" i="5" s="1"/>
  <c r="Z84" i="5"/>
  <c r="AA84" i="5" s="1"/>
  <c r="Q84" i="5"/>
  <c r="BH146" i="5"/>
  <c r="BI146" i="5" s="1"/>
  <c r="AT146" i="5"/>
  <c r="AU146" i="5" s="1"/>
  <c r="AJ146" i="5"/>
  <c r="AK146" i="5" s="1"/>
  <c r="Z146" i="5"/>
  <c r="AA146" i="5" s="1"/>
  <c r="E59" i="9"/>
  <c r="E61" i="9"/>
  <c r="D58" i="9"/>
  <c r="D60" i="9"/>
  <c r="E62" i="9"/>
  <c r="D62" i="9"/>
  <c r="E57" i="9"/>
  <c r="D57" i="9"/>
  <c r="D59" i="9"/>
  <c r="BI288" i="5" l="1"/>
  <c r="BI61" i="5"/>
  <c r="BI98" i="5"/>
  <c r="BI204" i="5"/>
  <c r="AT304" i="5"/>
  <c r="BI255" i="5"/>
  <c r="BI119" i="5"/>
  <c r="BI36" i="5"/>
  <c r="BI287" i="5"/>
  <c r="BI176" i="5"/>
  <c r="BI224" i="5"/>
  <c r="BI226" i="5"/>
  <c r="BI267" i="5"/>
  <c r="BI131" i="5"/>
  <c r="E63" i="9"/>
  <c r="AU200" i="5"/>
  <c r="AU189" i="5"/>
  <c r="AU326" i="5"/>
  <c r="AU100" i="5"/>
  <c r="AU262" i="5"/>
  <c r="AU287" i="5"/>
  <c r="AA265" i="5"/>
  <c r="AA223" i="5"/>
  <c r="BI30" i="5"/>
  <c r="AU46" i="5"/>
  <c r="AA240" i="5"/>
  <c r="AU334" i="5"/>
  <c r="AU213" i="5"/>
  <c r="AU11" i="5"/>
  <c r="BI172" i="5"/>
  <c r="AU61" i="5"/>
  <c r="AU25" i="5"/>
  <c r="AU173" i="5"/>
  <c r="AA332" i="5"/>
  <c r="AU237" i="5"/>
  <c r="BH240" i="5"/>
  <c r="BI240" i="5" s="1"/>
  <c r="AU136" i="5"/>
  <c r="AU231" i="5"/>
  <c r="AU69" i="5"/>
  <c r="BI81" i="5"/>
  <c r="Z55" i="5"/>
  <c r="Y55" i="5"/>
  <c r="BH55" i="5" s="1"/>
  <c r="BI55" i="5" s="1"/>
  <c r="AU240" i="5"/>
  <c r="BI228" i="5"/>
  <c r="AS252" i="5"/>
  <c r="BH252" i="5" s="1"/>
  <c r="BI252" i="5" s="1"/>
  <c r="AU98" i="5"/>
  <c r="BI248" i="5"/>
  <c r="AS249" i="5"/>
  <c r="BH249" i="5" s="1"/>
  <c r="BI249" i="5" s="1"/>
  <c r="BI124" i="5"/>
  <c r="AU271" i="5"/>
  <c r="BI87" i="5"/>
  <c r="BI272" i="5"/>
  <c r="BI326" i="5"/>
  <c r="AS296" i="5"/>
  <c r="BH296" i="5" s="1"/>
  <c r="BI296" i="5" s="1"/>
  <c r="BI265" i="5"/>
  <c r="AA26" i="5"/>
  <c r="AU196" i="5"/>
  <c r="BI183" i="5"/>
  <c r="BI306" i="5"/>
  <c r="AU43" i="5"/>
  <c r="AU176" i="5"/>
  <c r="BI84" i="5"/>
  <c r="BI253" i="5"/>
  <c r="AU36" i="5"/>
  <c r="BI235" i="5"/>
  <c r="BI238" i="5"/>
  <c r="AU232" i="5"/>
  <c r="BI12" i="5"/>
  <c r="BI58" i="5"/>
  <c r="BI174" i="5"/>
  <c r="AU332" i="5"/>
  <c r="BI237" i="5"/>
  <c r="BI236" i="5"/>
  <c r="BI113" i="5"/>
  <c r="AU118" i="5"/>
  <c r="BI179" i="5"/>
  <c r="BI223" i="5"/>
  <c r="BI77" i="5"/>
  <c r="BI231" i="5"/>
  <c r="BI92" i="5"/>
  <c r="BI163" i="5"/>
  <c r="BH239" i="5"/>
  <c r="BI239" i="5" s="1"/>
  <c r="BI298" i="5"/>
  <c r="BI132" i="5"/>
  <c r="BI230" i="5"/>
  <c r="BI141" i="5"/>
  <c r="BI66" i="5"/>
  <c r="BI60" i="5"/>
  <c r="BI25" i="5"/>
  <c r="BI261" i="5"/>
  <c r="AU52" i="5"/>
  <c r="BI100" i="5"/>
  <c r="AU62" i="5"/>
  <c r="AU149" i="5"/>
  <c r="BI304" i="5"/>
  <c r="BI104" i="5"/>
  <c r="BI213" i="5"/>
  <c r="AU24" i="5"/>
  <c r="AU307" i="5"/>
  <c r="BI44" i="5"/>
  <c r="BI200" i="5"/>
  <c r="Z69" i="5"/>
  <c r="AA69" i="5" s="1"/>
  <c r="BI69" i="5"/>
  <c r="BJ2" i="5"/>
  <c r="BI2" i="5"/>
  <c r="AU90" i="5"/>
  <c r="AA175" i="5"/>
  <c r="AU226" i="5"/>
  <c r="AU12" i="5"/>
  <c r="AU204" i="5"/>
  <c r="BH173" i="5"/>
  <c r="BI173" i="5" s="1"/>
  <c r="BI76" i="5"/>
  <c r="AU236" i="5"/>
  <c r="BH118" i="5"/>
  <c r="BI118" i="5" s="1"/>
  <c r="AU82" i="5"/>
  <c r="AU87" i="5"/>
  <c r="AA208" i="5"/>
  <c r="BH208" i="5"/>
  <c r="BI208" i="5" s="1"/>
  <c r="BI209" i="5"/>
  <c r="AU113" i="5"/>
  <c r="AA272" i="5"/>
  <c r="AU267" i="5"/>
  <c r="BH332" i="5"/>
  <c r="BI332" i="5" s="1"/>
  <c r="AU84" i="5"/>
  <c r="AU6" i="5"/>
  <c r="AU234" i="5"/>
  <c r="AU209" i="5"/>
  <c r="AU119" i="5"/>
  <c r="AU50" i="5"/>
  <c r="BI218" i="5"/>
  <c r="BI220" i="5"/>
  <c r="BI182" i="5"/>
  <c r="BI313" i="5"/>
  <c r="AU225" i="5"/>
  <c r="AU183" i="5"/>
  <c r="BI328" i="5"/>
  <c r="AU239" i="5"/>
  <c r="AU160" i="5"/>
  <c r="AA239" i="5"/>
  <c r="AU133" i="5"/>
  <c r="BI126" i="5"/>
  <c r="AA46" i="5"/>
  <c r="BI112" i="5"/>
  <c r="AA319" i="5"/>
  <c r="AA299" i="5"/>
  <c r="BI164" i="5"/>
  <c r="AU304" i="5"/>
  <c r="AU141" i="5"/>
  <c r="BI170" i="5"/>
  <c r="BH46" i="5"/>
  <c r="BI46" i="5" s="1"/>
  <c r="AU261" i="5"/>
  <c r="AU193" i="5"/>
  <c r="AU44" i="5"/>
  <c r="AU78" i="5"/>
  <c r="AU55" i="5"/>
  <c r="BI262" i="5"/>
  <c r="BI189" i="5"/>
  <c r="BI334" i="5"/>
  <c r="BH325" i="5"/>
  <c r="BI325" i="5" s="1"/>
  <c r="AU325" i="5"/>
  <c r="BH7" i="5"/>
  <c r="BI7" i="5" s="1"/>
  <c r="AA7" i="5"/>
  <c r="BH273" i="5"/>
  <c r="BI273" i="5" s="1"/>
  <c r="AA273" i="5"/>
  <c r="BH216" i="5"/>
  <c r="BI216" i="5" s="1"/>
  <c r="AU216" i="5"/>
  <c r="BH68" i="5"/>
  <c r="BI68" i="5" s="1"/>
  <c r="AA68" i="5"/>
  <c r="BH101" i="5"/>
  <c r="BI101" i="5" s="1"/>
  <c r="AU101" i="5"/>
  <c r="BH94" i="5"/>
  <c r="BI94" i="5" s="1"/>
  <c r="AU94" i="5"/>
  <c r="AU253" i="5"/>
  <c r="AU235" i="5"/>
  <c r="AU288" i="5"/>
  <c r="AU248" i="5"/>
  <c r="AU238" i="5"/>
  <c r="AU174" i="5"/>
  <c r="BH82" i="5"/>
  <c r="BI82" i="5" s="1"/>
  <c r="BH59" i="5"/>
  <c r="BI59" i="5" s="1"/>
  <c r="AA59" i="5"/>
  <c r="AU286" i="5"/>
  <c r="AU255" i="5"/>
  <c r="AU124" i="5"/>
  <c r="BI271" i="5"/>
  <c r="AU179" i="5"/>
  <c r="BH222" i="5"/>
  <c r="BI222" i="5" s="1"/>
  <c r="AU222" i="5"/>
  <c r="BH314" i="5"/>
  <c r="BI314" i="5" s="1"/>
  <c r="AU314" i="5"/>
  <c r="BI160" i="5"/>
  <c r="BI133" i="5"/>
  <c r="BH233" i="5"/>
  <c r="BI233" i="5" s="1"/>
  <c r="AU233" i="5"/>
  <c r="BI24" i="5"/>
  <c r="BI193" i="5"/>
  <c r="AU199" i="5"/>
  <c r="BH181" i="5"/>
  <c r="BI181" i="5" s="1"/>
  <c r="AU181" i="5"/>
  <c r="BH246" i="5"/>
  <c r="BI246" i="5" s="1"/>
  <c r="AU246" i="5"/>
  <c r="BI11" i="5"/>
  <c r="D11" i="2"/>
  <c r="G11" i="2" s="1"/>
  <c r="E11" i="2"/>
  <c r="AU249" i="5" l="1"/>
  <c r="AU296" i="5"/>
  <c r="AA55" i="5"/>
  <c r="AU25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 User</author>
  </authors>
  <commentList>
    <comment ref="A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Lab
</t>
        </r>
      </text>
    </comment>
    <comment ref="A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PI Salary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 User</author>
  </authors>
  <commentList>
    <comment ref="A1" authorId="0" shapeId="0" xr:uid="{00000000-0006-0000-0500-000001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Summary of funds released from April 1 2017 to March  31 2018</t>
        </r>
      </text>
    </comment>
    <comment ref="H1" authorId="0" shapeId="0" xr:uid="{00000000-0006-0000-0500-000002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Must be populated manually </t>
        </r>
      </text>
    </comment>
    <comment ref="I1" authorId="0" shapeId="0" xr:uid="{00000000-0006-0000-0500-000003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Calculated automatically as new budgets are added</t>
        </r>
      </text>
    </comment>
    <comment ref="J1" authorId="0" shapeId="0" xr:uid="{00000000-0006-0000-0500-000004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Summary of funds released from April 1 2017 to March  31 2018</t>
        </r>
      </text>
    </comment>
    <comment ref="H93" authorId="0" shapeId="0" xr:uid="{00000000-0006-0000-0500-000005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Transferred funds from FY 2017</t>
        </r>
      </text>
    </comment>
    <comment ref="A137" authorId="0" shapeId="0" xr:uid="{00000000-0006-0000-0500-000006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Early progress review and MbD Approved release of year2
</t>
        </r>
      </text>
    </comment>
    <comment ref="A138" authorId="0" shapeId="0" xr:uid="{00000000-0006-0000-0500-000007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Early progress review and MbD Approved release of year2
</t>
        </r>
      </text>
    </comment>
    <comment ref="H161" authorId="0" shapeId="0" xr:uid="{00000000-0006-0000-0500-000008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No Posting status until fully executsed Schedule 2 agreement is received.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 User</author>
  </authors>
  <commentList>
    <comment ref="A1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Lab
</t>
        </r>
      </text>
    </comment>
    <comment ref="A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PI Salary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 User</author>
  </authors>
  <commentList>
    <comment ref="A1" authorId="0" shapeId="0" xr:uid="{00000000-0006-0000-0800-000001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Summary of funds released from April 1 2017 to March  31 2018</t>
        </r>
      </text>
    </comment>
    <comment ref="H1" authorId="0" shapeId="0" xr:uid="{00000000-0006-0000-0800-000002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Must be populated manually </t>
        </r>
      </text>
    </comment>
    <comment ref="I1" authorId="0" shapeId="0" xr:uid="{00000000-0006-0000-0800-000003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Calculated automatically as new budgets are added</t>
        </r>
      </text>
    </comment>
    <comment ref="J1" authorId="0" shapeId="0" xr:uid="{00000000-0006-0000-0800-000004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Summary of funds released from April 1 2017 to March  31 2018</t>
        </r>
      </text>
    </comment>
    <comment ref="H42" authorId="0" shapeId="0" xr:uid="{00000000-0006-0000-0800-000005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Transferred funds from FY 2017</t>
        </r>
      </text>
    </comment>
    <comment ref="A137" authorId="0" shapeId="0" xr:uid="{00000000-0006-0000-0800-000006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Early progress review and MbD Approved release of year2
</t>
        </r>
      </text>
    </comment>
    <comment ref="A138" authorId="0" shapeId="0" xr:uid="{00000000-0006-0000-0800-000007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Early progress review and MbD Approved release of year2
</t>
        </r>
      </text>
    </comment>
    <comment ref="H161" authorId="0" shapeId="0" xr:uid="{00000000-0006-0000-0800-000008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No Posting status until fully executsed Schedule 2 agreement is received.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 User</author>
    <author>SKY</author>
    <author>Samantha</author>
    <author>Francesca Assisi</author>
  </authors>
  <commentList>
    <comment ref="Q1" authorId="0" shapeId="0" xr:uid="{00000000-0006-0000-0B00-000001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Imperative: Update this column when updating FReDs</t>
        </r>
      </text>
    </comment>
    <comment ref="A4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SKY:</t>
        </r>
        <r>
          <rPr>
            <sz val="9"/>
            <color indexed="81"/>
            <rFont val="Tahoma"/>
            <family val="2"/>
          </rPr>
          <t xml:space="preserve">
Salary Support Fund</t>
        </r>
      </text>
    </comment>
    <comment ref="A6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>SKY:</t>
        </r>
        <r>
          <rPr>
            <sz val="9"/>
            <color indexed="81"/>
            <rFont val="Tahoma"/>
            <family val="2"/>
          </rPr>
          <t xml:space="preserve">
Terminaed as of 28 February 2019</t>
        </r>
      </text>
    </comment>
    <comment ref="X9" authorId="2" shapeId="0" xr:uid="{00000000-0006-0000-0B00-000004000000}">
      <text>
        <r>
          <rPr>
            <b/>
            <sz val="9"/>
            <color indexed="81"/>
            <rFont val="Tahoma"/>
            <family val="2"/>
          </rPr>
          <t>Samantha:</t>
        </r>
        <r>
          <rPr>
            <sz val="9"/>
            <color indexed="81"/>
            <rFont val="Tahoma"/>
            <family val="2"/>
          </rPr>
          <t xml:space="preserve">
Overhead</t>
        </r>
      </text>
    </comment>
    <comment ref="Q23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to do: update budget breakdown per year with revised budget (Devenyi's portion)</t>
        </r>
      </text>
    </comment>
    <comment ref="AA23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transferred</t>
        </r>
      </text>
    </comment>
    <comment ref="AG46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Added PM salary March 2018 per MbD approval </t>
        </r>
      </text>
    </comment>
    <comment ref="X50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publication
</t>
        </r>
      </text>
    </comment>
    <comment ref="AH50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publication
</t>
        </r>
      </text>
    </comment>
    <comment ref="AR50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publication
</t>
        </r>
      </text>
    </comment>
    <comment ref="P96" authorId="3" shapeId="0" xr:uid="{00000000-0006-0000-0B00-00000B000000}">
      <text>
        <r>
          <rPr>
            <b/>
            <sz val="9"/>
            <color indexed="81"/>
            <rFont val="Tahoma"/>
            <family val="2"/>
          </rPr>
          <t>Francesca Assisi:</t>
        </r>
        <r>
          <rPr>
            <sz val="9"/>
            <color indexed="81"/>
            <rFont val="Tahoma"/>
            <family val="2"/>
          </rPr>
          <t xml:space="preserve">
Award terminated Sept. 19, 2019</t>
        </r>
      </text>
    </comment>
    <comment ref="Q154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update budget breakdown per revised budget (with $54k transferred to Schoichet)</t>
        </r>
      </text>
    </comment>
    <comment ref="P159" authorId="0" shapeId="0" xr:uid="{00000000-0006-0000-0B00-00000D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Extension approved Nov 26 2019. 
Change from 31-Mar-20 to 31-Dec-20</t>
        </r>
      </text>
    </comment>
    <comment ref="O163" authorId="0" shapeId="0" xr:uid="{00000000-0006-0000-0B00-00000E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extenion approved Nov 25 per email</t>
        </r>
      </text>
    </comment>
    <comment ref="P172" authorId="3" shapeId="0" xr:uid="{00000000-0006-0000-0B00-00000F000000}">
      <text>
        <r>
          <rPr>
            <b/>
            <sz val="9"/>
            <color indexed="81"/>
            <rFont val="Tahoma"/>
            <family val="2"/>
          </rPr>
          <t>Francesca Assisi:</t>
        </r>
        <r>
          <rPr>
            <sz val="9"/>
            <color indexed="81"/>
            <rFont val="Tahoma"/>
            <family val="2"/>
          </rPr>
          <t xml:space="preserve">
Award Terminated 31 May 2018</t>
        </r>
      </text>
    </comment>
    <comment ref="AI172" authorId="2" shapeId="0" xr:uid="{00000000-0006-0000-0B00-000010000000}">
      <text>
        <r>
          <rPr>
            <b/>
            <sz val="9"/>
            <color indexed="81"/>
            <rFont val="Tahoma"/>
            <family val="2"/>
          </rPr>
          <t>Samantha:</t>
        </r>
        <r>
          <rPr>
            <sz val="9"/>
            <color indexed="81"/>
            <rFont val="Tahoma"/>
            <family val="2"/>
          </rPr>
          <t xml:space="preserve">
annual 50K w $25K from ORIM</t>
        </r>
      </text>
    </comment>
    <comment ref="A181" authorId="0" shapeId="0" xr:uid="{00000000-0006-0000-0B00-000011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Merged
</t>
        </r>
      </text>
    </comment>
    <comment ref="Q181" authorId="0" shapeId="0" xr:uid="{00000000-0006-0000-0B00-000012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556823
</t>
        </r>
      </text>
    </comment>
    <comment ref="O214" authorId="0" shapeId="0" xr:uid="{00000000-0006-0000-0B00-000013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extension approval dated Nov 25 2019
</t>
        </r>
      </text>
    </comment>
    <comment ref="P214" authorId="0" shapeId="0" xr:uid="{00000000-0006-0000-0B00-000014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extension approval dated Nov 25 2019
extension approved June 18 until Aug 31 2020</t>
        </r>
      </text>
    </comment>
    <comment ref="A217" authorId="1" shapeId="0" xr:uid="{00000000-0006-0000-0B00-000015000000}">
      <text>
        <r>
          <rPr>
            <b/>
            <sz val="9"/>
            <color indexed="81"/>
            <rFont val="Tahoma"/>
            <family val="2"/>
          </rPr>
          <t>SKY:</t>
        </r>
        <r>
          <rPr>
            <sz val="9"/>
            <color indexed="81"/>
            <rFont val="Tahoma"/>
            <family val="2"/>
          </rPr>
          <t xml:space="preserve">
Operating Fund</t>
        </r>
      </text>
    </comment>
    <comment ref="A218" authorId="1" shapeId="0" xr:uid="{00000000-0006-0000-0B00-000016000000}">
      <text>
        <r>
          <rPr>
            <b/>
            <sz val="9"/>
            <color indexed="81"/>
            <rFont val="Tahoma"/>
            <family val="2"/>
          </rPr>
          <t>SKY:</t>
        </r>
        <r>
          <rPr>
            <sz val="9"/>
            <color indexed="81"/>
            <rFont val="Tahoma"/>
            <family val="2"/>
          </rPr>
          <t xml:space="preserve">
PDF Support Fund</t>
        </r>
      </text>
    </comment>
    <comment ref="A220" authorId="0" shapeId="0" xr:uid="{00000000-0006-0000-0B00-000017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Lab
</t>
        </r>
      </text>
    </comment>
    <comment ref="A221" authorId="0" shapeId="0" xr:uid="{00000000-0006-0000-0B00-000018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PI Salary
</t>
        </r>
      </text>
    </comment>
    <comment ref="Q221" authorId="0" shapeId="0" xr:uid="{00000000-0006-0000-0B00-000019000000}">
      <text>
        <r>
          <rPr>
            <b/>
            <sz val="9"/>
            <color rgb="FF000000"/>
            <rFont val="Tahoma"/>
            <family val="2"/>
          </rPr>
          <t>Default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260000+710760
</t>
        </r>
      </text>
    </comment>
    <comment ref="Y223" authorId="0" shapeId="0" xr:uid="{00000000-0006-0000-0B00-00001A000000}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Partial release of Budget $48,894 per Pre-Release approval</t>
        </r>
      </text>
    </comment>
    <comment ref="A228" authorId="0" shapeId="0" xr:uid="{00000000-0006-0000-0B00-00001B000000}">
      <text>
        <r>
          <rPr>
            <b/>
            <sz val="9"/>
            <color indexed="81"/>
            <rFont val="Tahoma"/>
            <family val="2"/>
          </rPr>
          <t>Rochelle:</t>
        </r>
        <r>
          <rPr>
            <sz val="9"/>
            <color indexed="81"/>
            <rFont val="Tahoma"/>
            <family val="2"/>
          </rPr>
          <t xml:space="preserve">Partial Funding Release Request Form received for release of $35900. Rest is conditional on approval of biosafety protocol.
</t>
        </r>
      </text>
    </comment>
    <comment ref="O230" authorId="0" shapeId="0" xr:uid="{00000000-0006-0000-0B00-00001C000000}">
      <text>
        <r>
          <rPr>
            <b/>
            <sz val="9"/>
            <color indexed="81"/>
            <rFont val="Tahoma"/>
            <family val="2"/>
          </rPr>
          <t>Rochelle: 
Extension approval dated May 14, 2020</t>
        </r>
      </text>
    </comment>
    <comment ref="P230" authorId="0" shapeId="0" xr:uid="{00000000-0006-0000-0B00-00001D000000}">
      <text>
        <r>
          <rPr>
            <b/>
            <sz val="9"/>
            <color indexed="81"/>
            <rFont val="Tahoma"/>
            <family val="2"/>
          </rPr>
          <t>Rochelle: 
Extension approval dated May 14, 2020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<sst xmlns="http://schemas.openxmlformats.org/spreadsheetml/2006/main" count="17227" uniqueCount="2072">
  <si>
    <t>Medicine by Design Awards (2022-2023) A project funded by the Canada First Research Excellence Fund</t>
  </si>
  <si>
    <t>Final</t>
  </si>
  <si>
    <t>MbD Program</t>
  </si>
  <si>
    <t>Amount Awarded**</t>
  </si>
  <si>
    <t>Funded PIs</t>
  </si>
  <si>
    <t>Grand Questions</t>
  </si>
  <si>
    <t>MbD Operations &amp; Outreach</t>
  </si>
  <si>
    <t>-</t>
  </si>
  <si>
    <t>New Hire Faculty Support</t>
  </si>
  <si>
    <t>Pivotal Experiment Fund</t>
  </si>
  <si>
    <t>Special Projects</t>
  </si>
  <si>
    <t>Total</t>
  </si>
  <si>
    <t>Note</t>
  </si>
  <si>
    <t>Data source: VPRI</t>
  </si>
  <si>
    <r>
      <rPr>
        <sz val="11"/>
        <color rgb="FF000000"/>
        <rFont val="Calibri Light"/>
      </rPr>
      <t xml:space="preserve">**Represents awards made April 2022 to March 2023 by </t>
    </r>
    <r>
      <rPr>
        <i/>
        <sz val="11"/>
        <color rgb="FF000000"/>
        <rFont val="Calibri Light"/>
      </rPr>
      <t>Medicine by Design</t>
    </r>
    <r>
      <rPr>
        <sz val="11"/>
        <color rgb="FF000000"/>
        <rFont val="Calibri Light"/>
      </rPr>
      <t>, a U of T and partner hospitals project funded by the Canada First Research Excellence Fund.</t>
    </r>
  </si>
  <si>
    <t>**Includes indirect costs.</t>
  </si>
  <si>
    <t>Medicine by Design Awards (2021-2022) A project funded by the Canada First Research Excellence Fund</t>
  </si>
  <si>
    <t>Engineering-Medicine/Hospital (EMHSeed)</t>
  </si>
  <si>
    <t>MbD Team Project (Cycle 2)</t>
  </si>
  <si>
    <t>New Ideas</t>
  </si>
  <si>
    <t>Postdoctoral Fellowship</t>
  </si>
  <si>
    <r>
      <t xml:space="preserve">**Represents awards made April 2021 to March 2022 by </t>
    </r>
    <r>
      <rPr>
        <i/>
        <sz val="11"/>
        <rFont val="Calibri Light"/>
        <family val="2"/>
      </rPr>
      <t>Medicine by Design</t>
    </r>
    <r>
      <rPr>
        <sz val="11"/>
        <rFont val="Calibri Light"/>
        <family val="2"/>
      </rPr>
      <t>, a U of T and partner hospitals project funded by the Canada First Research Excellence Fund.</t>
    </r>
  </si>
  <si>
    <t>Medicine by Design Awards (2020-2021) A project funded by the Canada First Research Excellence Fund</t>
  </si>
  <si>
    <r>
      <t xml:space="preserve">**Represents awards made April 2020 to March 2021 by </t>
    </r>
    <r>
      <rPr>
        <i/>
        <sz val="11"/>
        <rFont val="Calibri Light"/>
        <family val="2"/>
      </rPr>
      <t>Medicine by Design</t>
    </r>
    <r>
      <rPr>
        <sz val="11"/>
        <rFont val="Calibri Light"/>
        <family val="2"/>
      </rPr>
      <t>, a U of T and partner hospitals project funded by the Canada First Research Excellence Fund. Data will be finalised in Fiscal Year 2021-2022</t>
    </r>
  </si>
  <si>
    <t>*** Represents a Budget Adjustment</t>
  </si>
  <si>
    <t>Medicine by Design Awards (2019-2020) A project funded by the Canada First Research Excellence Fund</t>
  </si>
  <si>
    <r>
      <t xml:space="preserve">**Represents awards made April 2019 to March 2020 by </t>
    </r>
    <r>
      <rPr>
        <i/>
        <sz val="11"/>
        <rFont val="Calibri Light"/>
        <family val="2"/>
      </rPr>
      <t>Medicine by Design</t>
    </r>
    <r>
      <rPr>
        <sz val="11"/>
        <rFont val="Calibri Light"/>
        <family val="2"/>
      </rPr>
      <t xml:space="preserve">, a U of T and partner hospitals project funded by the Canada First Research Excellence Fund. </t>
    </r>
  </si>
  <si>
    <t>Medicine by Design Awards (2018-2019) A project funded by the Canada First Research Excellence Fund</t>
  </si>
  <si>
    <t>Amount Awarded</t>
  </si>
  <si>
    <t>MbD Team Project (Cycle 1)</t>
  </si>
  <si>
    <r>
      <t xml:space="preserve">Represents awards made April 2018 to March 2019 by </t>
    </r>
    <r>
      <rPr>
        <i/>
        <sz val="11"/>
        <rFont val="Calibri Light"/>
        <family val="2"/>
      </rPr>
      <t>Medicine by Design</t>
    </r>
    <r>
      <rPr>
        <sz val="11"/>
        <rFont val="Calibri Light"/>
        <family val="2"/>
      </rPr>
      <t xml:space="preserve">, a U of T and partner hospitals project funded by the Canada First Research Excellence Fund. </t>
    </r>
  </si>
  <si>
    <t>Includes indirect costs.</t>
  </si>
  <si>
    <t>Medicine by Design Awards (2017-2018) A project funded by the Canada First Research Excellence Fund</t>
  </si>
  <si>
    <r>
      <t xml:space="preserve">Represents awards made April 2017 to March 2018 by </t>
    </r>
    <r>
      <rPr>
        <i/>
        <sz val="11"/>
        <rFont val="Calibri Light"/>
        <family val="2"/>
      </rPr>
      <t>Medicine by Design</t>
    </r>
    <r>
      <rPr>
        <sz val="11"/>
        <rFont val="Calibri Light"/>
        <family val="2"/>
      </rPr>
      <t xml:space="preserve">, a U of T and partner hospitals project funded by the Canada First Research Excellence Fund. </t>
    </r>
  </si>
  <si>
    <t>Fund #</t>
  </si>
  <si>
    <t>FC #</t>
  </si>
  <si>
    <t>Program Name</t>
  </si>
  <si>
    <t>PI Full Name</t>
  </si>
  <si>
    <t>Description</t>
  </si>
  <si>
    <t>Location</t>
  </si>
  <si>
    <t>Start Date</t>
  </si>
  <si>
    <t>End Date</t>
  </si>
  <si>
    <t>Budget</t>
  </si>
  <si>
    <t>OH</t>
  </si>
  <si>
    <t>DIRECTOR EXECUTIVE</t>
  </si>
  <si>
    <t>Exec Director, CFREF-ED</t>
  </si>
  <si>
    <t>Campus</t>
  </si>
  <si>
    <t>Michael Sefton</t>
  </si>
  <si>
    <t>Sefton, M CFREF-2019</t>
  </si>
  <si>
    <t>KHAN, OMAR F</t>
  </si>
  <si>
    <t>Khan, O CFREF-2020</t>
  </si>
  <si>
    <t>JONES, COURTNEY</t>
  </si>
  <si>
    <t>Jones, C CFREF-2021</t>
  </si>
  <si>
    <t>UHN</t>
  </si>
  <si>
    <t>MbD Special Projects</t>
  </si>
  <si>
    <t>DICK, JOHN</t>
  </si>
  <si>
    <t>Dick, J MbDSP-2020-01</t>
  </si>
  <si>
    <t>HOPE, KRISTIN</t>
  </si>
  <si>
    <t>Hope, K CFREF-2021</t>
  </si>
  <si>
    <t>MbD Grand Questions</t>
  </si>
  <si>
    <t>GARTON, MICHAEL J</t>
  </si>
  <si>
    <t>Garton, M MbDGQ-2021-01</t>
  </si>
  <si>
    <t>PROTZE, STEPHANIE</t>
  </si>
  <si>
    <t>Protze, S MbDGQ-2021-01</t>
  </si>
  <si>
    <t>OGAWA, SHINICHIRO</t>
  </si>
  <si>
    <t>Ogawa, S MbDGQ-2021-01</t>
  </si>
  <si>
    <t>LI, YUN</t>
  </si>
  <si>
    <t>Li, Y MbDGQ-2021-01</t>
  </si>
  <si>
    <t>HSC</t>
  </si>
  <si>
    <t>NOSTRO, CRISTINA</t>
  </si>
  <si>
    <t>Nostro, C MbDGQ-2021-01</t>
  </si>
  <si>
    <t>LAFLAMME, MICHAEL</t>
  </si>
  <si>
    <t>Laflamme, M MbDGQ-2021-01</t>
  </si>
  <si>
    <t>WANG, CHAO</t>
  </si>
  <si>
    <t>Wang, C CFREF-2021</t>
  </si>
  <si>
    <t>SRI</t>
  </si>
  <si>
    <t>MCGUIGAN, ALISON</t>
  </si>
  <si>
    <t>McGuigan, A MbDGQ-2021-03</t>
  </si>
  <si>
    <t>WOOLLEY G ANDREW</t>
  </si>
  <si>
    <t>Woolley, A MbDGQ-2021-03</t>
  </si>
  <si>
    <t>JACKSON, HARTLAND</t>
  </si>
  <si>
    <t>Jackson, H MbDGQ-2021-03</t>
  </si>
  <si>
    <t>SHS</t>
  </si>
  <si>
    <t>Garton, M MbDGQ-2021-03</t>
  </si>
  <si>
    <t>BADER, GARY</t>
  </si>
  <si>
    <t>Bader, G MbDGQ-2021-03</t>
  </si>
  <si>
    <t>CHOU, LEO</t>
  </si>
  <si>
    <t>Chou, L MbDGQ-2021-02</t>
  </si>
  <si>
    <t>KELLEY, SHANA</t>
  </si>
  <si>
    <t>Kelley, S MbDGQ-2021-02</t>
  </si>
  <si>
    <t>Sum of Budget</t>
  </si>
  <si>
    <t>Sum of OH</t>
  </si>
  <si>
    <t>PARDEE, KEITH IAN</t>
  </si>
  <si>
    <t>Pardee, K MbDGQ-2021-02</t>
  </si>
  <si>
    <t>HOPYAN, SEVAN</t>
  </si>
  <si>
    <t>Hopyan, S MbDGQ-2021-04</t>
  </si>
  <si>
    <t>SUN, YU</t>
  </si>
  <si>
    <t>Yu, S MbDGQ-2021-04</t>
  </si>
  <si>
    <t>MbD Pivotal Experiment Fund</t>
  </si>
  <si>
    <t>GOYAL, SIDHARTHA</t>
  </si>
  <si>
    <t>Goyal, S MbDGQ-2021-04</t>
  </si>
  <si>
    <t>WINKLBAUER, RUDY</t>
  </si>
  <si>
    <t>Winklbauer, R MbDGQ-2021-04</t>
  </si>
  <si>
    <t>SANDER, BEATE</t>
  </si>
  <si>
    <t>Sander, B MbDSP-2021-01</t>
  </si>
  <si>
    <t>Grand Total</t>
  </si>
  <si>
    <t>MORSHEAD, CINDI</t>
  </si>
  <si>
    <t>Morshead, C MbDPEFR1-2021-03</t>
  </si>
  <si>
    <t>SCHUURMANS, CAROL</t>
  </si>
  <si>
    <t>Schuurmans, C MbDPEFR1-2021-03</t>
  </si>
  <si>
    <t>KELLER, GORDON</t>
  </si>
  <si>
    <t>Keller, G MbDPEFR1-2021-02</t>
  </si>
  <si>
    <t>MACPARLAND, SONYA</t>
  </si>
  <si>
    <t>MacParland, S MbDPEFR1-2021-02</t>
  </si>
  <si>
    <t>Ogawa, S MbDPEFR1-2021-02</t>
  </si>
  <si>
    <t>SHOICHET MOLLY S</t>
  </si>
  <si>
    <t>Shoichet, M MBDPEFR2-2022-01</t>
  </si>
  <si>
    <t>31/7/2023</t>
  </si>
  <si>
    <t>Kelley, S MBDPEFR2-2022-02</t>
  </si>
  <si>
    <t>Chou, L MBDRASI-2022-06</t>
  </si>
  <si>
    <t>SHOICHET, MOLLY S</t>
  </si>
  <si>
    <t>Shoichet, M MBDRASI-2022-03</t>
  </si>
  <si>
    <t>KHAN, OMAR</t>
  </si>
  <si>
    <t>Khan, O MBDRASI-2022-01</t>
  </si>
  <si>
    <t>SEFTON MV PROF</t>
  </si>
  <si>
    <t>Sefton, M MBDRASI-2022-09</t>
  </si>
  <si>
    <t>LEFEBVRE, JULIE</t>
  </si>
  <si>
    <t>Lefebvre, J MBDRASI-2022-07</t>
  </si>
  <si>
    <t>FRIEDBERG, MARK</t>
  </si>
  <si>
    <t>Friedberg, M MBDRASI-2022-08</t>
  </si>
  <si>
    <t>CROME, SARAH</t>
  </si>
  <si>
    <t>Crome, S MBDRASI-2022-04</t>
  </si>
  <si>
    <t>Laflamme, M MBDRASI-2022-02</t>
  </si>
  <si>
    <t>ZUNIGA-PFLUCKER JUAN</t>
  </si>
  <si>
    <t>Zúñiga-Pflücker, J MbDPEFR3-2022-02</t>
  </si>
  <si>
    <t>Crome, S MbDPEFR3-2022-02</t>
  </si>
  <si>
    <t>RAMALHO-SANTOS, MIGUEL</t>
  </si>
  <si>
    <t>Ramalho-Santos, M MBDRASI-2022-05</t>
  </si>
  <si>
    <t>Khan, O MbDPEFR3-2022-03</t>
  </si>
  <si>
    <t>BILLIA, PHYLLIS</t>
  </si>
  <si>
    <t>Billia, P MbDPEFR3-2022-01</t>
  </si>
  <si>
    <t>ABELSON, SAGI</t>
  </si>
  <si>
    <t>Abelson, Sagi MbDPEFR3-2022-01</t>
  </si>
  <si>
    <t>Pardee, K MBDPEFR3-2022-04</t>
  </si>
  <si>
    <t>O'BRIEN CATHERINE</t>
  </si>
  <si>
    <t>O'Brien, C MbDBBV-2022-01</t>
  </si>
  <si>
    <t>30/06/2023</t>
  </si>
  <si>
    <t>BHAT, MAMATHA</t>
  </si>
  <si>
    <t>Bhat, M MBDCWG-2022-01</t>
  </si>
  <si>
    <t>28/02/2023</t>
  </si>
  <si>
    <t>MUCSI, ISTVAN</t>
  </si>
  <si>
    <t>Mucsi, I MBDCWG-2022-03</t>
  </si>
  <si>
    <t>Morshead, C MBDCWG-2022-02</t>
  </si>
  <si>
    <t>BREZNITZ, SHIRI M.</t>
  </si>
  <si>
    <t>Breznitz, S  MbDCWG-2022-06</t>
  </si>
  <si>
    <t>ANDREAZZA, ANA C</t>
  </si>
  <si>
    <t>Andreazza, A MbDCWG-2022-05</t>
  </si>
  <si>
    <t>PIERRO, AGOSTINO</t>
  </si>
  <si>
    <t>Pierro, A MbDCWG-2022-04</t>
  </si>
  <si>
    <t>DOWLING, JAMES</t>
  </si>
  <si>
    <t>Dowling, J MBDCWG-2022-07</t>
  </si>
  <si>
    <t>Row Labels</t>
  </si>
  <si>
    <t>Count of PI Full Name</t>
  </si>
  <si>
    <t>MbD New Ideas</t>
  </si>
  <si>
    <t>MbD PDF Fellowship</t>
  </si>
  <si>
    <t>MbD Cycle 2</t>
  </si>
  <si>
    <t>MbD Seed Fund</t>
  </si>
  <si>
    <t>Crome, S CFREF-2018</t>
  </si>
  <si>
    <t>Hope, Kristin CFREF-2021</t>
  </si>
  <si>
    <t>GILLIS, JESSE</t>
  </si>
  <si>
    <t>Gillis, J CFREF-2021</t>
  </si>
  <si>
    <t>BUECHLER, MATTHEW</t>
  </si>
  <si>
    <t>Buechler, M CFREF-2021</t>
  </si>
  <si>
    <t>GUNNING, PATRICK</t>
  </si>
  <si>
    <t>Gunning, P MbDBBV-2021-01</t>
  </si>
  <si>
    <t>ZHANG, ZHAOLEI</t>
  </si>
  <si>
    <t>Zhang, Z MbDDSICat-2022-01</t>
  </si>
  <si>
    <t>MILSTEIN, JOSHUA</t>
  </si>
  <si>
    <t>Milstein, J MbDDSICat-2022-01</t>
  </si>
  <si>
    <t>Garton, M EMHS-2020-01</t>
  </si>
  <si>
    <t>Laflamme, M EMHS-2020-01</t>
  </si>
  <si>
    <t>CHENG, HAI-LING</t>
  </si>
  <si>
    <t>Laflamme, M MbDPEFR1-2021-04</t>
  </si>
  <si>
    <t>FEHLINGS MICHAEL</t>
  </si>
  <si>
    <t>Cheng, HL MbDPEFR1-2021-04</t>
  </si>
  <si>
    <t>Fehlings, M MbDPEFR1-2021-04</t>
  </si>
  <si>
    <t>Macparland, S MbDPEFR1-2021-02</t>
  </si>
  <si>
    <t>MCGILVRAY, IAN</t>
  </si>
  <si>
    <t>McGilvray, I MbDPEFR1-2021-02</t>
  </si>
  <si>
    <t>KESHAVJEE S</t>
  </si>
  <si>
    <t>Keshavjee, S MbDPEFR1-2021-01</t>
  </si>
  <si>
    <t>LIU, MINGYAO</t>
  </si>
  <si>
    <t>Liu, M MbDPEFR1-2021-01</t>
  </si>
  <si>
    <t>Shoichet, M MbDPEFR2-2022-01</t>
  </si>
  <si>
    <t>WALLACE, VALERIE</t>
  </si>
  <si>
    <t>Wallace, V MbDPEFR2-2022-01</t>
  </si>
  <si>
    <t>ANGERS, STEPHANE</t>
  </si>
  <si>
    <t>Angers, S MbDPEFR2-2022-02</t>
  </si>
  <si>
    <t>Kelley, S MbDPEFR2-2022-02</t>
  </si>
  <si>
    <t>MOFFAT, JASON</t>
  </si>
  <si>
    <t>Moffat, J MbDPEFR2-2022-02</t>
  </si>
  <si>
    <t>SCHRAMEK, D</t>
  </si>
  <si>
    <t>Schramek, D MPDF-2019-03</t>
  </si>
  <si>
    <t>GILBERT, PENNEY</t>
  </si>
  <si>
    <t>Gilbert, P MPDF-2019-04</t>
  </si>
  <si>
    <t>McGuigan,A MPDF-2020-03</t>
  </si>
  <si>
    <t>MUFFAT, JULIEN</t>
  </si>
  <si>
    <t>Muffat, J MPDF-2020-01</t>
  </si>
  <si>
    <t>Hopyan, S MPDF-2020-04</t>
  </si>
  <si>
    <t>DIAMANDIS, E</t>
  </si>
  <si>
    <t>Diamandis,E MPDF-2020-02</t>
  </si>
  <si>
    <t>EXECUTIVE DIRECTOR, MBD</t>
  </si>
  <si>
    <t>Exec Dir, CFREF-ED</t>
  </si>
  <si>
    <t>WOODIN, MELANIE</t>
  </si>
  <si>
    <t>Woodin, M MBDNI-2018-05</t>
  </si>
  <si>
    <t>Gilbert, P MbDNI-2020-02</t>
  </si>
  <si>
    <t>LEE, HYUN</t>
  </si>
  <si>
    <t>Lee, H K MbdNI-2020-02</t>
  </si>
  <si>
    <t>CHOU, L MbDNI-2020-01</t>
  </si>
  <si>
    <t>Lefebvre, J MbDNI-2020-01</t>
  </si>
  <si>
    <t>Wallace, V MbDNI-2020-01</t>
  </si>
  <si>
    <t>WONG, AMY</t>
  </si>
  <si>
    <t>Wong, A MbDNI-2020-03</t>
  </si>
  <si>
    <t>Li, Yun MbDGQ-2021-01</t>
  </si>
  <si>
    <t>Garton,M MbDGQ-2021-03</t>
  </si>
  <si>
    <t>Jackson,H MbDGQ-2021-03</t>
  </si>
  <si>
    <t>McGuigan,A MbDGQ-2021-03</t>
  </si>
  <si>
    <t>Woolley,G MbDGQ-2021-03</t>
  </si>
  <si>
    <t>CHOU, L MbDGQ-2021-02</t>
  </si>
  <si>
    <t>KELLEY, S MbDGQ-2021-02</t>
  </si>
  <si>
    <t>PARDEE, K MbDGQ-2021-02</t>
  </si>
  <si>
    <t>Sun, Y MbDGQ-2021-04</t>
  </si>
  <si>
    <t>Hai-Ling, C MBDC2-2019-01</t>
  </si>
  <si>
    <t>EPELMAN, SLAVA</t>
  </si>
  <si>
    <t>Epelman, S MBDC2-2019-01</t>
  </si>
  <si>
    <t>Friedberg, M MBDC2-2019-01</t>
  </si>
  <si>
    <t>GHUGRE, NILESH</t>
  </si>
  <si>
    <t>Ghugre, N MBDC2-2019-01</t>
  </si>
  <si>
    <t>Ghugre, N MbDC2-2019-01</t>
  </si>
  <si>
    <t>GRAMOLINI, A</t>
  </si>
  <si>
    <t>Gramolini, A MBDC2-2019-01</t>
  </si>
  <si>
    <t>HEXIMER, S</t>
  </si>
  <si>
    <t>Heximer, S MBDC2-2019-01</t>
  </si>
  <si>
    <t>Keller, G MBDC2-2019-01</t>
  </si>
  <si>
    <t>Laflamme, M MBDC2-2019-01</t>
  </si>
  <si>
    <t>WRIGHT GRAHAM DR</t>
  </si>
  <si>
    <t>Wright, G MbDC2-2019-01</t>
  </si>
  <si>
    <t>Bader, G MbDC2-2019-02</t>
  </si>
  <si>
    <t>Gilbert, P MbDC2-2019-02</t>
  </si>
  <si>
    <t>Goyal, S MbDC2-2019-02</t>
  </si>
  <si>
    <t>KAPLAN, DAVID</t>
  </si>
  <si>
    <t>Kaplan, D MbDC2-2019-02</t>
  </si>
  <si>
    <t>Li, Y MbDC2-2019-02</t>
  </si>
  <si>
    <t>Mcguigan, A MbDC2-2019-02</t>
  </si>
  <si>
    <t>McGuigan, A MbDC2-2019-02</t>
  </si>
  <si>
    <t>MILLER, FREDA</t>
  </si>
  <si>
    <t>Miller, F MbDC2-2019-02</t>
  </si>
  <si>
    <t>Morshead, C MbDC2-2019-02</t>
  </si>
  <si>
    <t>ZANDSTRA, PETER</t>
  </si>
  <si>
    <t>Zandstra, P MbDC2-2019-02</t>
  </si>
  <si>
    <t>UBC</t>
  </si>
  <si>
    <t>Angers, S MbDC2-2019-03</t>
  </si>
  <si>
    <t>BLENCOWE, B</t>
  </si>
  <si>
    <t>Blencowe, B MbDC2-2019-03</t>
  </si>
  <si>
    <t>Kelley, S MbDC2-2019-03</t>
  </si>
  <si>
    <t>McGuigan, A MbDC2-2019-03</t>
  </si>
  <si>
    <t>Moffat, J MbDC2-2019-03</t>
  </si>
  <si>
    <t>Pardee, K MbDC2-2019-03</t>
  </si>
  <si>
    <t>SIDHU, SACHDEV</t>
  </si>
  <si>
    <t>Sidhu, S MbDC2-2019-03</t>
  </si>
  <si>
    <t>AUBERT, ISABELLE</t>
  </si>
  <si>
    <t>Aubert, I MBDC2-2019-04</t>
  </si>
  <si>
    <t>FAIZ, MARYAM</t>
  </si>
  <si>
    <t>Faiz, M MBDC2-2019-04</t>
  </si>
  <si>
    <t>Morshead, C MBDC2-2019-04</t>
  </si>
  <si>
    <t>Schuurmans, C MBDC2-2019-04</t>
  </si>
  <si>
    <t>Woodin, M MBDC2-2019-04</t>
  </si>
  <si>
    <t>CYBULSKY, MYRON</t>
  </si>
  <si>
    <t>Cybulsky, M MbDC2-2019-05</t>
  </si>
  <si>
    <t>FISH, JASON</t>
  </si>
  <si>
    <t>Fish, J MbDC2-2019-05</t>
  </si>
  <si>
    <t>ROBBINS, CLINTON S</t>
  </si>
  <si>
    <t>Robbins, C MbDC2-2019-05</t>
  </si>
  <si>
    <t>Lefebvre,J MbDC2-2019-06</t>
  </si>
  <si>
    <t>Shoichet, M MbDC2-2019-06</t>
  </si>
  <si>
    <t>Shoichet, M MBDC2-2019-07</t>
  </si>
  <si>
    <t>VAN DER KOOY DEREK J</t>
  </si>
  <si>
    <t>Van Der Kooy, D MbDC2-2019-06</t>
  </si>
  <si>
    <t>Wallace,V MbDC2-2019-06</t>
  </si>
  <si>
    <t>Bader, G MBDC2-2019-07</t>
  </si>
  <si>
    <t>BEAR, CHRISTINE E</t>
  </si>
  <si>
    <t>Bear, C MBDC2-2019-07</t>
  </si>
  <si>
    <t>GUENTHER, AXEL</t>
  </si>
  <si>
    <t>Guenther, A MBDC2-2019-07</t>
  </si>
  <si>
    <t>Keller, G MBDC2-2019-07</t>
  </si>
  <si>
    <t>McParland, S MBDC2-2019-07</t>
  </si>
  <si>
    <t>McGilvray, I MBDC2-2019-07</t>
  </si>
  <si>
    <t>Ogawa, S MBDC2-2019-07</t>
  </si>
  <si>
    <t>Abelson, S MbDC2-2019-09</t>
  </si>
  <si>
    <t>AWADALLA, PHILIP</t>
  </si>
  <si>
    <t>Awadalla, P MbDC2-2019-09</t>
  </si>
  <si>
    <t>Bader, G MbDC2-2019-09</t>
  </si>
  <si>
    <t>BILLIA, FILIO</t>
  </si>
  <si>
    <t>Billia, F MbDC2-2019-09</t>
  </si>
  <si>
    <t>CHAN, STEVEN</t>
  </si>
  <si>
    <t>Chan, S MbDC2-2019-09</t>
  </si>
  <si>
    <t>Dick, J MbDC2-2019-09</t>
  </si>
  <si>
    <t>Epelman, S MbDC2-2019-09</t>
  </si>
  <si>
    <t>LUPIEN, MATHIEU</t>
  </si>
  <si>
    <t>Lupien, M MbDC2-2019-09</t>
  </si>
  <si>
    <t>AMON, CRISTINA</t>
  </si>
  <si>
    <t>Amon, C MbDC2-2019-10</t>
  </si>
  <si>
    <t>BAZYLAK, A</t>
  </si>
  <si>
    <t>Bazylak, A MbDC2-2019-10</t>
  </si>
  <si>
    <t>CYPEL, MARCELO</t>
  </si>
  <si>
    <t>Cypel, M MbDC2-2019-10</t>
  </si>
  <si>
    <t>Keshavjee, S MbDC2-2019-10</t>
  </si>
  <si>
    <t>WADDELL, THOMAS</t>
  </si>
  <si>
    <t>Waddell, T MbDC2-2019-10</t>
  </si>
  <si>
    <t>ATTISANO LILIANA</t>
  </si>
  <si>
    <t>Attisano, L MBDC2-2019-08</t>
  </si>
  <si>
    <t>Blencowe, B MBDC2-2019-08</t>
  </si>
  <si>
    <t>Goyal, S MBDC2-2019-08</t>
  </si>
  <si>
    <t>PELLETIER, LAURENCE</t>
  </si>
  <si>
    <t>Pelletier, L MBDC2-2019-08</t>
  </si>
  <si>
    <t>WRANA, JL</t>
  </si>
  <si>
    <t>Wrana, J MBDC2-2019-08</t>
  </si>
  <si>
    <t>Crome, S MbDC2-2020-11</t>
  </si>
  <si>
    <t>HIRANO, NAOTO</t>
  </si>
  <si>
    <t>Hirano, N MbDC2-2020-11</t>
  </si>
  <si>
    <t>MCGAHA, TRACY LYNN</t>
  </si>
  <si>
    <t>McGaha, T MbDC2-2020-11</t>
  </si>
  <si>
    <t>NAGY, ANDRAS</t>
  </si>
  <si>
    <t>Andras, N MbDC2-2020-11</t>
  </si>
  <si>
    <t>Nostro, C MbDC2-2020-11</t>
  </si>
  <si>
    <t>VASCONCELOS, SARA</t>
  </si>
  <si>
    <t>Vasconcelos, S MbDC2-2020-11</t>
  </si>
  <si>
    <t>Zuniga, J MbDC2-2020-11</t>
  </si>
  <si>
    <t>Attisano, L MBDC2-2019-11</t>
  </si>
  <si>
    <t>Fund Number</t>
  </si>
  <si>
    <t>FC Number</t>
  </si>
  <si>
    <t>Engineering-Medicine/Hospital - EMHSeed</t>
  </si>
  <si>
    <t>Michael Laflamme</t>
  </si>
  <si>
    <t>Michael Garton</t>
  </si>
  <si>
    <t>EXEC DIRECTOR FUNDS</t>
  </si>
  <si>
    <t>Exec Director MedbD Scientific CFREF-ED</t>
  </si>
  <si>
    <t xml:space="preserve">SEFTON M </t>
  </si>
  <si>
    <t>MbD Team Project Award ("Cycle 1")</t>
  </si>
  <si>
    <t>Sidhartha Goyal</t>
  </si>
  <si>
    <t>Goyal,S CITPA-2016-01</t>
  </si>
  <si>
    <t>Keith Pardee</t>
  </si>
  <si>
    <t>Pardee, K CITPA-2016-06</t>
  </si>
  <si>
    <t>Pardee, K CITPA-2016-10</t>
  </si>
  <si>
    <t>MbD Team Project Award ("Cycle 2")</t>
  </si>
  <si>
    <t>Anthony Gramolini</t>
  </si>
  <si>
    <t>Gramolini, A MbDC2-2019-01</t>
  </si>
  <si>
    <t>Gordon Keller</t>
  </si>
  <si>
    <t>Keller, G MbDC2-2019-01</t>
  </si>
  <si>
    <t>Hai-Ling Cheng</t>
  </si>
  <si>
    <t>Cheng, H-L MbDC2-2019-01</t>
  </si>
  <si>
    <t>Mark Friedberg</t>
  </si>
  <si>
    <t>Friedberg, M MbDC2-2019-01</t>
  </si>
  <si>
    <t>Laflamme, M MbDC2-2019-01</t>
  </si>
  <si>
    <t>Nilesh Ghurgre</t>
  </si>
  <si>
    <t>Scott Heximer</t>
  </si>
  <si>
    <t>Heximer, S MbDC2-2019-01</t>
  </si>
  <si>
    <t>Slava Epelman</t>
  </si>
  <si>
    <t>Epelman, S MbDC2-2019-01</t>
  </si>
  <si>
    <t>Alison McGuigan</t>
  </si>
  <si>
    <t>Cindi Morshead</t>
  </si>
  <si>
    <t>David Kaplan</t>
  </si>
  <si>
    <t>Freda Miller</t>
  </si>
  <si>
    <t>Gary Bader</t>
  </si>
  <si>
    <t>Penney Gilbert</t>
  </si>
  <si>
    <t>Peter Zandstra</t>
  </si>
  <si>
    <t>Yun LI</t>
  </si>
  <si>
    <t>Mcguigan, A MbDC2-2019-03</t>
  </si>
  <si>
    <t>Ben Blencowe</t>
  </si>
  <si>
    <t>Jason Moffat</t>
  </si>
  <si>
    <t>Sachdev Sidhu</t>
  </si>
  <si>
    <t>Shana Kelley</t>
  </si>
  <si>
    <t>Stephane Angers</t>
  </si>
  <si>
    <t>Carol Schuurmans</t>
  </si>
  <si>
    <t>Shuurmans, C MbDC2-2019-04</t>
  </si>
  <si>
    <t>Morshead, C MbDC2-2019-04</t>
  </si>
  <si>
    <t>Isabelle Aubert</t>
  </si>
  <si>
    <t>Aubert, I MbDC2-2019-04</t>
  </si>
  <si>
    <t>Maryam Faiz</t>
  </si>
  <si>
    <t>Faiz, M MbDC2-2019-04</t>
  </si>
  <si>
    <t>Melanie Woodin</t>
  </si>
  <si>
    <t>Woodin, M MbDC2-2019-04</t>
  </si>
  <si>
    <t>Clint Robbins</t>
  </si>
  <si>
    <t>Jason Fish</t>
  </si>
  <si>
    <t>Myron Cybulsky</t>
  </si>
  <si>
    <t>Derek van der Kooy</t>
  </si>
  <si>
    <t>Julie Lefebvre</t>
  </si>
  <si>
    <t>Lefebvre, J MbDC2-2019-06</t>
  </si>
  <si>
    <t>Molly Shoichet</t>
  </si>
  <si>
    <t>Valerie Wallace</t>
  </si>
  <si>
    <t>Wallace, V MbDC2-2019-06</t>
  </si>
  <si>
    <t>Axel Guenther</t>
  </si>
  <si>
    <t>Guenther, A MbDC2-2019-07</t>
  </si>
  <si>
    <t>Christine Bear</t>
  </si>
  <si>
    <t>Bear, C MbDC2-2019-07</t>
  </si>
  <si>
    <t>Bader, G MbDC2-2019-07</t>
  </si>
  <si>
    <t>Keller, G MbDC2-2019-07</t>
  </si>
  <si>
    <t>Ian McGilvray</t>
  </si>
  <si>
    <t>McGilvray, I MbDC2-2019-07</t>
  </si>
  <si>
    <t>Shoichet, M MbDC2-2019-07</t>
  </si>
  <si>
    <t>Shinichiro Ogawa</t>
  </si>
  <si>
    <t>Ogawa, S MbDC2-2019-07</t>
  </si>
  <si>
    <t>Sonya MacParland</t>
  </si>
  <si>
    <t>Macparland, S MbDC2-2019-07</t>
  </si>
  <si>
    <t>John Dick</t>
  </si>
  <si>
    <t>Mathieu Lupien</t>
  </si>
  <si>
    <t>Philip Awadalla</t>
  </si>
  <si>
    <t>Phyllis Billia</t>
  </si>
  <si>
    <t>Billia, P MbDC2-2019-09</t>
  </si>
  <si>
    <t>Sagi Abelson</t>
  </si>
  <si>
    <t>Abelson, Sagi MbDC2-2019-09</t>
  </si>
  <si>
    <t>Steven Chan</t>
  </si>
  <si>
    <t>Aimy Bazylak</t>
  </si>
  <si>
    <t>Cristina Amon</t>
  </si>
  <si>
    <t>Marcelo Cypel</t>
  </si>
  <si>
    <t>Shaf Keshavjee</t>
  </si>
  <si>
    <t>Tom Waddell</t>
  </si>
  <si>
    <t>Blencowe,B MbDC2-2019-08</t>
  </si>
  <si>
    <t>Blencowe, B MbDC2-2019-08</t>
  </si>
  <si>
    <t>Jeff Wrana</t>
  </si>
  <si>
    <t>Wrana, J MbDC2-2019-08</t>
  </si>
  <si>
    <t>Laurence Pelletier</t>
  </si>
  <si>
    <t>Pelletier, L MbDC2-2019-08</t>
  </si>
  <si>
    <t>Liliana Attisano</t>
  </si>
  <si>
    <t>Attisano, L MbDC2-2019-08</t>
  </si>
  <si>
    <t>Goyal, S MbDC2-2019-08</t>
  </si>
  <si>
    <t>Andras Nagy</t>
  </si>
  <si>
    <t>Nagy, Andras MbDC2-2020-11</t>
  </si>
  <si>
    <t>Cristina Nostro</t>
  </si>
  <si>
    <t>Juan Carlos Zúñiga-Pflücker</t>
  </si>
  <si>
    <t>Zuniga-Pflucker, J MbDC2-2020-11</t>
  </si>
  <si>
    <t>Naoto Hirano</t>
  </si>
  <si>
    <t>Sara Vasconcelos</t>
  </si>
  <si>
    <t>Sarah Crome</t>
  </si>
  <si>
    <t>Tracy McGaha</t>
  </si>
  <si>
    <t>Mcgaha, L MbDC2-2020-11</t>
  </si>
  <si>
    <t>Attisano, L MbDC2-2019-11</t>
  </si>
  <si>
    <t>LI Y      CFREF-2017</t>
  </si>
  <si>
    <t>CROME S   CFREF-2018</t>
  </si>
  <si>
    <t>Stephanie Protze</t>
  </si>
  <si>
    <t>PROTZE S  CFREF-2018</t>
  </si>
  <si>
    <t>Omar Khan</t>
  </si>
  <si>
    <t>KHAN, O CFREF-2020</t>
  </si>
  <si>
    <t>Courtney Jones</t>
  </si>
  <si>
    <t>Kristin Hope</t>
  </si>
  <si>
    <t>Chao Wang</t>
  </si>
  <si>
    <t>Bebhinn Treanor</t>
  </si>
  <si>
    <t>Treanor, B MbDNI-2019-01</t>
  </si>
  <si>
    <t>Leo Chou</t>
  </si>
  <si>
    <t>Chou, L MbDNI-2019-01</t>
  </si>
  <si>
    <t>Robert Hamilton</t>
  </si>
  <si>
    <t>HAMILTON R MBDNI-2018</t>
  </si>
  <si>
    <t>SIDHU S HAMILTON R MBDNI-201</t>
  </si>
  <si>
    <t>Yu Sun</t>
  </si>
  <si>
    <t>SUN, Y HOPYAN MBDNI-2019</t>
  </si>
  <si>
    <t>Sevan Hopyan</t>
  </si>
  <si>
    <t>HOPYAN, S MBDNI-2019</t>
  </si>
  <si>
    <t>Radhakrishnan Mahadevan</t>
  </si>
  <si>
    <t>MAHADEVA R MBDNI-2018</t>
  </si>
  <si>
    <t>PARDEE K MBDNI-2019-04</t>
  </si>
  <si>
    <t>Tae-Hee Kim</t>
  </si>
  <si>
    <t>KIM, T  MAHADEVAN MBDNI-2018</t>
  </si>
  <si>
    <t>Garton, M MbDNISF-2020-02</t>
  </si>
  <si>
    <t>Hyun (Kate) Lee</t>
  </si>
  <si>
    <t>Lee, H MbDNI-2020-02</t>
  </si>
  <si>
    <t>Chou, L MbDNI-2020-01</t>
  </si>
  <si>
    <t>Amy Wong</t>
  </si>
  <si>
    <t>Philip Sherman</t>
  </si>
  <si>
    <t>Sherman, P MbDNISF-2020-01</t>
  </si>
  <si>
    <t>Agostino Pierro</t>
  </si>
  <si>
    <t>Pierro, A MbDNISF-2020-01</t>
  </si>
  <si>
    <t>William Navarre</t>
  </si>
  <si>
    <t>Navarre, W MbDNISF-2020-04</t>
  </si>
  <si>
    <t>Jason Maynes</t>
  </si>
  <si>
    <t>Maynes, J MbDNISF-2020-04</t>
  </si>
  <si>
    <t>John Parkinson</t>
  </si>
  <si>
    <t>Parkinson, J MbDNISF-2020-04</t>
  </si>
  <si>
    <t>Lincoln Stein</t>
  </si>
  <si>
    <t>Stein, L MbDNISF-2020-03</t>
  </si>
  <si>
    <t xml:space="preserve">Postdoctoral Fellowship </t>
  </si>
  <si>
    <t>NOSTRO C MPDF-2017-02</t>
  </si>
  <si>
    <t>Craig Simmons</t>
  </si>
  <si>
    <t>SIMMONS C MPDF-2018</t>
  </si>
  <si>
    <t>Aaron Wheeler</t>
  </si>
  <si>
    <t>WHEELER A MPDF-2018</t>
  </si>
  <si>
    <t>KIM T   MPDF-2018</t>
  </si>
  <si>
    <t>MILLER F MPDF-2018</t>
  </si>
  <si>
    <t>Mikko Taipale</t>
  </si>
  <si>
    <t>TAIPALE M MPDF-2019</t>
  </si>
  <si>
    <t>MORSHEAD C MPDF-2019</t>
  </si>
  <si>
    <t>Daniel Schramek</t>
  </si>
  <si>
    <t>SCHRAMEK D MPDF-2019</t>
  </si>
  <si>
    <t>GILBERT P MPDF-2019</t>
  </si>
  <si>
    <t>MCGUIGAN, A MPDF 2020-03</t>
  </si>
  <si>
    <t>Julien Muffat</t>
  </si>
  <si>
    <t>MUFFAT, J MPDF-2020-01</t>
  </si>
  <si>
    <t>ROBBINS,C MPDF-2020-02</t>
  </si>
  <si>
    <t>Robbins, C MPDF-2020-02</t>
  </si>
  <si>
    <t>HOPYAN, S MPDF 2020-04</t>
  </si>
  <si>
    <t>Christoph Licht</t>
  </si>
  <si>
    <t>Licht, C MbDSP-2020-02</t>
  </si>
  <si>
    <t>Duplicate Ref?</t>
  </si>
  <si>
    <t>Duplicate-Y/N</t>
  </si>
  <si>
    <t>Program- MbD</t>
  </si>
  <si>
    <t>Executive Director Funds: Operating</t>
  </si>
  <si>
    <t>Executive Director Funds: Scientific</t>
  </si>
  <si>
    <t>Cycle 1</t>
  </si>
  <si>
    <t>Yes</t>
  </si>
  <si>
    <t>PDF</t>
  </si>
  <si>
    <t>Faculty Support</t>
  </si>
  <si>
    <t xml:space="preserve">Cycle 2 </t>
  </si>
  <si>
    <t>Executive Director Award: Zandstra/Sefton</t>
  </si>
  <si>
    <t>EMHSeed</t>
  </si>
  <si>
    <t>Fund</t>
  </si>
  <si>
    <t>PI Email</t>
  </si>
  <si>
    <t>FC Name</t>
  </si>
  <si>
    <t>CFC</t>
  </si>
  <si>
    <t>Last Name</t>
  </si>
  <si>
    <t>First Name</t>
  </si>
  <si>
    <t>Institution</t>
  </si>
  <si>
    <t>Lead/Co</t>
  </si>
  <si>
    <t>Faculty</t>
  </si>
  <si>
    <t>Department</t>
  </si>
  <si>
    <t>Dept Contact</t>
  </si>
  <si>
    <t>Program</t>
  </si>
  <si>
    <t xml:space="preserve">Sponsor Ref No. </t>
  </si>
  <si>
    <t>Grant Start Date</t>
  </si>
  <si>
    <t>Grant End Date</t>
  </si>
  <si>
    <t>Fund End Date</t>
  </si>
  <si>
    <t>Budget Released</t>
  </si>
  <si>
    <t>Open</t>
  </si>
  <si>
    <t>Salaries</t>
  </si>
  <si>
    <t>Equipment</t>
  </si>
  <si>
    <t>Materials &amp; Supplies</t>
  </si>
  <si>
    <t>Travel</t>
  </si>
  <si>
    <t>Services</t>
  </si>
  <si>
    <t>Other</t>
  </si>
  <si>
    <t>Year1</t>
  </si>
  <si>
    <t>Check</t>
  </si>
  <si>
    <t>Difference</t>
  </si>
  <si>
    <t>Open2</t>
  </si>
  <si>
    <t>Salaries3</t>
  </si>
  <si>
    <t>Equipment4</t>
  </si>
  <si>
    <t>Materials &amp; Supplies5</t>
  </si>
  <si>
    <t>Travel6</t>
  </si>
  <si>
    <t>Services7</t>
  </si>
  <si>
    <t>Other8</t>
  </si>
  <si>
    <t>Year2 Total</t>
  </si>
  <si>
    <t>Check9</t>
  </si>
  <si>
    <t>Difference10</t>
  </si>
  <si>
    <t>Open11</t>
  </si>
  <si>
    <t>Salaries12</t>
  </si>
  <si>
    <t>Equipment13</t>
  </si>
  <si>
    <t>Materials &amp; Supplies14</t>
  </si>
  <si>
    <t>Travel15</t>
  </si>
  <si>
    <t>Services16</t>
  </si>
  <si>
    <t>Other17</t>
  </si>
  <si>
    <t>Year 3 total</t>
  </si>
  <si>
    <t>Check18</t>
  </si>
  <si>
    <t>Difference19</t>
  </si>
  <si>
    <t>Open20</t>
  </si>
  <si>
    <t>Salaries21</t>
  </si>
  <si>
    <t>Equipment22</t>
  </si>
  <si>
    <t>Materials &amp; Supplies23</t>
  </si>
  <si>
    <t>Services24</t>
  </si>
  <si>
    <t>Travel25</t>
  </si>
  <si>
    <t>Special:PM</t>
  </si>
  <si>
    <t>Year 4 total</t>
  </si>
  <si>
    <t>Open26</t>
  </si>
  <si>
    <t>Year 5 total</t>
  </si>
  <si>
    <t>Special:TCAI</t>
  </si>
  <si>
    <t>Year 6 total</t>
  </si>
  <si>
    <t>To be Released on Request</t>
  </si>
  <si>
    <t>Total Awarded</t>
  </si>
  <si>
    <t>Total Awarded vs Budget Released</t>
  </si>
  <si>
    <t>Notes</t>
  </si>
  <si>
    <t>Year of Release</t>
  </si>
  <si>
    <t>Exec Director MedbD Operating</t>
  </si>
  <si>
    <t>EXECUTIVE</t>
  </si>
  <si>
    <t>DIRECTOR</t>
  </si>
  <si>
    <t>Op</t>
  </si>
  <si>
    <t>VPRI</t>
  </si>
  <si>
    <t>CFREF-ED</t>
  </si>
  <si>
    <t>Exec Director MedbD Scientific</t>
  </si>
  <si>
    <t>Sci</t>
  </si>
  <si>
    <t>hyunokate.lee@utoronto.ca</t>
  </si>
  <si>
    <t>Lee</t>
  </si>
  <si>
    <t>Hyun (Kate)</t>
  </si>
  <si>
    <t>Lead</t>
  </si>
  <si>
    <t>FoM</t>
  </si>
  <si>
    <t>Biochemistry</t>
  </si>
  <si>
    <t>lynette.anderson@utoronto.ca</t>
  </si>
  <si>
    <t>CFREF-2018</t>
  </si>
  <si>
    <t>N/A</t>
  </si>
  <si>
    <t>Fund terminated; PI accepted tri-agency funding; unspent moved to lab; budget decreased by $67,500. Original: $135,000</t>
  </si>
  <si>
    <t>Department provides $120,000 in support of Dr. Lee (institutional contribution)</t>
  </si>
  <si>
    <t>michael.garton@utoronto.ca</t>
  </si>
  <si>
    <t>GARTON, MICHEAL JAMES</t>
  </si>
  <si>
    <t>Garton</t>
  </si>
  <si>
    <t>Michael</t>
  </si>
  <si>
    <t>FASE</t>
  </si>
  <si>
    <t>IBBME</t>
  </si>
  <si>
    <t>angela.rosa@utoronto.ca</t>
  </si>
  <si>
    <t>Fund terminated bc PI secure Tri-agency fudning. Unspent balance moved</t>
  </si>
  <si>
    <t>leo.chou@utoronto.ca</t>
  </si>
  <si>
    <t>Chou</t>
  </si>
  <si>
    <t>Leo</t>
  </si>
  <si>
    <t>CFREF-2019</t>
  </si>
  <si>
    <t>Fund terminated; PI accepted tri-agency funding; original award amnt: $150,000 (till Mar 31,2020) $125,200 moved other fund. Salary</t>
  </si>
  <si>
    <t>dr.khan@utoronto.ca</t>
  </si>
  <si>
    <t>Khan</t>
  </si>
  <si>
    <t>Omar</t>
  </si>
  <si>
    <t>hr.bme@utoronto.ca</t>
  </si>
  <si>
    <t>CFREF-2020</t>
  </si>
  <si>
    <t>PI salary support</t>
  </si>
  <si>
    <t>Cathy.Barr@uhnresearch.ca</t>
  </si>
  <si>
    <t>BARR, CATHY</t>
  </si>
  <si>
    <t>Barr</t>
  </si>
  <si>
    <t>Cathy</t>
  </si>
  <si>
    <t>co</t>
  </si>
  <si>
    <t>Psychiatry</t>
  </si>
  <si>
    <t>paula.smellie@utoronto.ca;</t>
  </si>
  <si>
    <t>MBDNISF-2019-01</t>
  </si>
  <si>
    <t>jczp@sri.utoronto.ca</t>
  </si>
  <si>
    <t>Zúñiga-Pflücker</t>
  </si>
  <si>
    <t>Juan Carlos</t>
  </si>
  <si>
    <t>Immunology</t>
  </si>
  <si>
    <t>Immunology.Office@utoronto.ca</t>
  </si>
  <si>
    <t>Transition</t>
  </si>
  <si>
    <t>CFREF-2015</t>
  </si>
  <si>
    <t>*Budget in FReD includes $52,470 in OH funds (total $229,137)</t>
  </si>
  <si>
    <t>C1TPA-2016-20</t>
  </si>
  <si>
    <t>MBDC2-2020-11</t>
  </si>
  <si>
    <t>myron.cybulsky@utoronto.ca</t>
  </si>
  <si>
    <t>Cybulsky</t>
  </si>
  <si>
    <t>Myron</t>
  </si>
  <si>
    <t>Lab. Medicine and Pathobiology</t>
  </si>
  <si>
    <t>MbDC2-2019-05</t>
  </si>
  <si>
    <t>michael.wheeler@utoronto.ca</t>
  </si>
  <si>
    <t>WHEELER, MICHAEL</t>
  </si>
  <si>
    <t>Wheeler</t>
  </si>
  <si>
    <t>Physiology</t>
  </si>
  <si>
    <t>paula.smellie@utoronto.ca</t>
  </si>
  <si>
    <t>OIRM-MbD New Ideas</t>
  </si>
  <si>
    <t>OMNI-2017-07</t>
  </si>
  <si>
    <t>1 year ($75K total, $37.5K from OIRM), extension to June 30 2018, $15K from Supplies:Comp</t>
  </si>
  <si>
    <t>Herbert.gaisano@utoronto.ca</t>
  </si>
  <si>
    <t>GAISANO HERBERT Y DR</t>
  </si>
  <si>
    <t>Gaisano</t>
  </si>
  <si>
    <t>Herbert</t>
  </si>
  <si>
    <t>Medicine</t>
  </si>
  <si>
    <t>Ivan.Cheng@utoronto.ca</t>
  </si>
  <si>
    <t>CFREF-2016</t>
  </si>
  <si>
    <t>p.marsden@utoronto.ca</t>
  </si>
  <si>
    <t>MARSDEN PHILIP A DR</t>
  </si>
  <si>
    <t>Marsden</t>
  </si>
  <si>
    <t>Phil</t>
  </si>
  <si>
    <t>christine.kreutzer@utoronto.ca</t>
  </si>
  <si>
    <t>C1TPA-2016-15</t>
  </si>
  <si>
    <t>philip.sherman@sickkids.ca</t>
  </si>
  <si>
    <t>SHERMAN, PHILIP DR</t>
  </si>
  <si>
    <t>Sherman</t>
  </si>
  <si>
    <t>Philip</t>
  </si>
  <si>
    <t>Paediatrics</t>
  </si>
  <si>
    <t>anna.capizzano@sickkids.ca, paula.smellie@utoronto.ca</t>
  </si>
  <si>
    <t>MbDNISF-2020-01</t>
  </si>
  <si>
    <t>Peter.Carlen@uhnresearch.ca</t>
  </si>
  <si>
    <t>CARLEN, PETER</t>
  </si>
  <si>
    <t>Carlen</t>
  </si>
  <si>
    <t>Peter</t>
  </si>
  <si>
    <t>Year 1 extended to May 31 (18-Mar-2020)</t>
  </si>
  <si>
    <t>michael.fehlings@uhn.ca</t>
  </si>
  <si>
    <t>FEHLINGS, MICHAEL</t>
  </si>
  <si>
    <t>Fehlings</t>
  </si>
  <si>
    <t>Surgery</t>
  </si>
  <si>
    <t>nancy.calabrese@utoronto.ca</t>
  </si>
  <si>
    <t>Pivotal</t>
  </si>
  <si>
    <t>MbDPEFR1-2021-04</t>
  </si>
  <si>
    <t>Charles.Tator@uhn.ca</t>
  </si>
  <si>
    <t>TATOR CHARLES H PROF</t>
  </si>
  <si>
    <t>Tator</t>
  </si>
  <si>
    <t>Charles</t>
  </si>
  <si>
    <t>1 year ($50K total, $25K from OIRM); Grant end date changed to June 30, 2016 to allow cheque request to be processed</t>
  </si>
  <si>
    <t>brenda.andrews@utoronto.ca</t>
  </si>
  <si>
    <t>ANDREWS BRENDA J DR</t>
  </si>
  <si>
    <t>Andrews</t>
  </si>
  <si>
    <t>Brenda</t>
  </si>
  <si>
    <t>Donnelly</t>
  </si>
  <si>
    <t>a.marrelli@utoronto.ca; patrick.scopa@utoronto.ca</t>
  </si>
  <si>
    <t>C1TPA-2016-11</t>
  </si>
  <si>
    <t>awoolley@chem.utoronto.ca</t>
  </si>
  <si>
    <t>WOOLLEY, ANDREW</t>
  </si>
  <si>
    <t>Woolley</t>
  </si>
  <si>
    <t>Andrew</t>
  </si>
  <si>
    <t>FAS</t>
  </si>
  <si>
    <t>Chemistry</t>
  </si>
  <si>
    <t>jpak@chem.utoronto.ca
djob@chem.utoronto.ca</t>
  </si>
  <si>
    <t>MbDGQ-2021-03</t>
  </si>
  <si>
    <t>molly.shoichet@utoronto.ca</t>
  </si>
  <si>
    <t>Shoichet</t>
  </si>
  <si>
    <t>Molly</t>
  </si>
  <si>
    <t>Chemical Engineering</t>
  </si>
  <si>
    <t>arlene.smith@utoronto.ca</t>
  </si>
  <si>
    <t>C1TPA-2016-05</t>
  </si>
  <si>
    <t>C1TPA-2016-12</t>
  </si>
  <si>
    <t>C1TPA-2016-16</t>
  </si>
  <si>
    <t>transfer 10k from Y1:Y2 compensation; transfer 10k from Y1:Y3 services</t>
  </si>
  <si>
    <t>MbDC2-2019-06</t>
  </si>
  <si>
    <t>MbDC2-2019-07</t>
  </si>
  <si>
    <t>MbDPEFR2-2022-01</t>
  </si>
  <si>
    <t>paul.santerre@utoronto.ca / paul.santerre@dentistry.utoronto.ca</t>
  </si>
  <si>
    <t>SANTEERE, PAUL</t>
  </si>
  <si>
    <t>Santerre</t>
  </si>
  <si>
    <t>Paul</t>
  </si>
  <si>
    <t xml:space="preserve">PHARM </t>
  </si>
  <si>
    <t>Dentistry</t>
  </si>
  <si>
    <t>maria.lopezdonaire@utoronto.ca</t>
  </si>
  <si>
    <t>MBDNI-2018-03</t>
  </si>
  <si>
    <t>gawright@sri.utoronto.ca</t>
  </si>
  <si>
    <t>Wright</t>
  </si>
  <si>
    <t>Graham</t>
  </si>
  <si>
    <t>Medical Biophysics</t>
  </si>
  <si>
    <t>katrina.soh@utoronto.ca</t>
  </si>
  <si>
    <t>Clinical Translation/ Commercialization</t>
  </si>
  <si>
    <t>CTC-2017-02</t>
  </si>
  <si>
    <t>Extension to June 30 2018</t>
  </si>
  <si>
    <t>merle.casci@utoronto.ca</t>
  </si>
  <si>
    <t>MbDC2-2019-01</t>
  </si>
  <si>
    <t>michael.sefton@utoronto.ca</t>
  </si>
  <si>
    <t>Sefton</t>
  </si>
  <si>
    <t>Original budget reduced by $10,000 to return unspent balance to lead fund</t>
  </si>
  <si>
    <t>christopher.yip@utoronto.ca</t>
  </si>
  <si>
    <t>YIP, CHRISTOPHER.</t>
  </si>
  <si>
    <t>Yip</t>
  </si>
  <si>
    <t>Christopher</t>
  </si>
  <si>
    <t>C1TPA-2016-17</t>
  </si>
  <si>
    <t>$9333 from Sept 2017 and 10000 from Sept 2018 reallocated Supplies: equipment</t>
  </si>
  <si>
    <t>$9777 moved from Sept 2017 and $20000 from Sept 2018 reallocated Supplies:Equip in Sept 2018 budget</t>
  </si>
  <si>
    <t>Co</t>
  </si>
  <si>
    <t>OMNI-2017-04</t>
  </si>
  <si>
    <t>1 year - no OIRM match, extension to September 30, 2018</t>
  </si>
  <si>
    <t>isabelle.aubert@sri.utoronto.ca</t>
  </si>
  <si>
    <t>Aubert</t>
  </si>
  <si>
    <t>Isabelle</t>
  </si>
  <si>
    <t>MBDNI-2017-06</t>
  </si>
  <si>
    <t>nelson.cabral@utoronto.ca</t>
  </si>
  <si>
    <t>MbDC2-2019-04</t>
  </si>
  <si>
    <t>mingyao.liu@utoronto.ca</t>
  </si>
  <si>
    <t>Liu</t>
  </si>
  <si>
    <t>Mingyao</t>
  </si>
  <si>
    <t>Extended to December 2016</t>
  </si>
  <si>
    <t>C1TPA-2016-07</t>
  </si>
  <si>
    <t>MbDPEFR1-2021-01</t>
  </si>
  <si>
    <t>tom.waddell@uhn.ca</t>
  </si>
  <si>
    <t>Waddell</t>
  </si>
  <si>
    <t>Tom</t>
  </si>
  <si>
    <t>TBD</t>
  </si>
  <si>
    <t>1 year ($50K total, $25K from OIRM)</t>
  </si>
  <si>
    <t>C1TPA-2016-13</t>
  </si>
  <si>
    <t>C1PTA-2016-18</t>
  </si>
  <si>
    <t>MBDC2-2019-10</t>
  </si>
  <si>
    <t>u.tepass@utoronto.ca</t>
  </si>
  <si>
    <t>TEPASS ULRICH PROF</t>
  </si>
  <si>
    <t>Tepass</t>
  </si>
  <si>
    <t>Ulrich</t>
  </si>
  <si>
    <t>Cell &amp; Systems Biology</t>
  </si>
  <si>
    <t>lynn.gole@utoronto.ca; stephanie.melo@utoronto.ca</t>
  </si>
  <si>
    <t>$5000 for PM salary; Reallocated $14,273 from general supplies to equipment ($14,273)</t>
  </si>
  <si>
    <t>shaf.keshavjee@uhn.ca</t>
  </si>
  <si>
    <t>Keshavjee</t>
  </si>
  <si>
    <t>Shaf</t>
  </si>
  <si>
    <t>CTC-2017-01</t>
  </si>
  <si>
    <t>$248,009 cash contribution XOR labs - extension to May 31, 2019</t>
  </si>
  <si>
    <t>ekumache@chem.utoronto.ca</t>
  </si>
  <si>
    <t>KUMACHEVA EUGENIA DR</t>
  </si>
  <si>
    <t>Kumacheva</t>
  </si>
  <si>
    <t>Eugenia</t>
  </si>
  <si>
    <t>peter.zandstra@utoronto.ca</t>
  </si>
  <si>
    <t>Zandstra</t>
  </si>
  <si>
    <t>MPDF-2017-01</t>
  </si>
  <si>
    <t>3 year award</t>
  </si>
  <si>
    <t>MbDNISF-2019-05</t>
  </si>
  <si>
    <t>MbDC2-2019-02</t>
  </si>
  <si>
    <t>cindi.morshead@utoronto.ca</t>
  </si>
  <si>
    <t>Morshead</t>
  </si>
  <si>
    <t>Cindi</t>
  </si>
  <si>
    <t>Anatomy</t>
  </si>
  <si>
    <t>elizabeth.sutherland@utoronto.ca</t>
  </si>
  <si>
    <t>C1TPA-2016-01</t>
  </si>
  <si>
    <t>MBDNI-2017-03</t>
  </si>
  <si>
    <t>MBDNI-2018-02</t>
  </si>
  <si>
    <t>MPDF-2019-02</t>
  </si>
  <si>
    <t>anatomy@utoronto.ca</t>
  </si>
  <si>
    <t>MbDPEFR1-2021-03</t>
  </si>
  <si>
    <t>ted.sargent@utoronto.ca</t>
  </si>
  <si>
    <t>SARGENT, EDWARD</t>
  </si>
  <si>
    <t>Sargent</t>
  </si>
  <si>
    <t>Ted</t>
  </si>
  <si>
    <t>Electrical and Computer Engineering</t>
  </si>
  <si>
    <t>Jeannie Ing</t>
  </si>
  <si>
    <t>v.tropepe@utoronto.ca</t>
  </si>
  <si>
    <t>TROPEPE, VINCE</t>
  </si>
  <si>
    <t>Tropepe</t>
  </si>
  <si>
    <t>Vince</t>
  </si>
  <si>
    <t>OMNI-2017-05</t>
  </si>
  <si>
    <t>1 year - no OIRM match, extension to June 30 2018</t>
  </si>
  <si>
    <t>yu.sun@utoronto.ca</t>
  </si>
  <si>
    <t>Sun</t>
  </si>
  <si>
    <t>Yu</t>
  </si>
  <si>
    <t>Mechanical &amp; Industrial Engineering</t>
  </si>
  <si>
    <t>'elisabete@mie.utoronto.ca'; 'konstantin@mie.utoronto.ca'</t>
  </si>
  <si>
    <t>MBDNI-2019-03</t>
  </si>
  <si>
    <t>Second year approved</t>
  </si>
  <si>
    <t>MbDGQ-2021-04</t>
  </si>
  <si>
    <t>simmons@mie.utoronto.ca</t>
  </si>
  <si>
    <t>SIMMONS, CRAIG</t>
  </si>
  <si>
    <t>Simmons</t>
  </si>
  <si>
    <t>Craig</t>
  </si>
  <si>
    <t>EMHS-2019-01</t>
  </si>
  <si>
    <t>Year 2 contingent on progress</t>
  </si>
  <si>
    <t>m.woodin@utoronto.ca</t>
  </si>
  <si>
    <t>Woodin</t>
  </si>
  <si>
    <t>Melanie</t>
  </si>
  <si>
    <t>MBDNI-2018-05</t>
  </si>
  <si>
    <t>2018: $4,200 Services:Supplies 2019: $12,800 Comp:Services</t>
  </si>
  <si>
    <t>stephanie.melo@utoronto.ca</t>
  </si>
  <si>
    <t>quaid.morris@utoronto.ca</t>
  </si>
  <si>
    <t>MORRIS, QUAID</t>
  </si>
  <si>
    <t>Morris</t>
  </si>
  <si>
    <t>Quaid</t>
  </si>
  <si>
    <t>C1TPA-2016-03</t>
  </si>
  <si>
    <t>C1TPA-2016-02</t>
  </si>
  <si>
    <t>aaron.wheeler@utoronto.ca</t>
  </si>
  <si>
    <t>WHEELER, AARON</t>
  </si>
  <si>
    <t>Aaron</t>
  </si>
  <si>
    <t>Not extended</t>
  </si>
  <si>
    <t>MPDF-2018-01</t>
  </si>
  <si>
    <t>3year award</t>
  </si>
  <si>
    <t>MbDC2-2019-03</t>
  </si>
  <si>
    <t>Wheeler not part of project from Year 2</t>
  </si>
  <si>
    <t>tony.harris@utoronto.ca</t>
  </si>
  <si>
    <t>HARRIS, TONY</t>
  </si>
  <si>
    <t>Harris</t>
  </si>
  <si>
    <t>Tony</t>
  </si>
  <si>
    <t>krishna.mahadevan@utoronto.ca</t>
  </si>
  <si>
    <t>MAHADEVAN, RADHAKRISHNAN</t>
  </si>
  <si>
    <t>Mahadevan</t>
  </si>
  <si>
    <t>Radhakrishnan</t>
  </si>
  <si>
    <t>C1TPA-2016-10</t>
  </si>
  <si>
    <t>MBDNI-2019-04</t>
  </si>
  <si>
    <t>anthony.gramolini@utoronto.ca</t>
  </si>
  <si>
    <t>GRAMOLINI, ANTHONY</t>
  </si>
  <si>
    <t>Gramolini</t>
  </si>
  <si>
    <t>Anthony</t>
  </si>
  <si>
    <t>cristina.amon@utoronto.ca</t>
  </si>
  <si>
    <t>Amon</t>
  </si>
  <si>
    <t>Cristina</t>
  </si>
  <si>
    <t>konstantin@mie.utoronto.ca; elisabete@mie.utoronto.ca</t>
  </si>
  <si>
    <t>C1TPA-2016-18</t>
  </si>
  <si>
    <t>guenther@mie.utoronto.ca</t>
  </si>
  <si>
    <t>Guenther</t>
  </si>
  <si>
    <t>Axel</t>
  </si>
  <si>
    <t>stephane.angers@utoronto.ca</t>
  </si>
  <si>
    <t>Angers</t>
  </si>
  <si>
    <t>Stephane</t>
  </si>
  <si>
    <t>Pharmacy</t>
  </si>
  <si>
    <t>finance.phm@utoronto.ca</t>
  </si>
  <si>
    <t>MBDNICL-2017-02</t>
  </si>
  <si>
    <t xml:space="preserve"> Extended to Sept 30,2018; $5,208.31 Comp:Supplies</t>
  </si>
  <si>
    <t>MbDPEFR2-2022-02</t>
  </si>
  <si>
    <t>j.moffat@utoronto.ca</t>
  </si>
  <si>
    <t>Moffat</t>
  </si>
  <si>
    <t>Jason</t>
  </si>
  <si>
    <t>a.marrelli@utoronto.ca; angelika.kocan@utoronto.ca</t>
  </si>
  <si>
    <t>MBDNI-2017-04</t>
  </si>
  <si>
    <t>william.navarre@utoronto.ca</t>
  </si>
  <si>
    <t>NAVARRE, WILLIAM</t>
  </si>
  <si>
    <t>Navarre</t>
  </si>
  <si>
    <t>William</t>
  </si>
  <si>
    <t>Molecular Genetics</t>
  </si>
  <si>
    <t>MbDNISF-2020-04</t>
  </si>
  <si>
    <t>patrick.gunning@utoronto.ca</t>
  </si>
  <si>
    <t>Gunning</t>
  </si>
  <si>
    <t>Patrick</t>
  </si>
  <si>
    <t>UTM</t>
  </si>
  <si>
    <t>UTM Chem/Phys</t>
  </si>
  <si>
    <t>jessica.bailey@utoronto.ca</t>
  </si>
  <si>
    <t>MPDF-2018-05</t>
  </si>
  <si>
    <t xml:space="preserve">3 year award - Resigned (last day Sept 20, 2019) </t>
  </si>
  <si>
    <t>MbDBBV-2021-01</t>
  </si>
  <si>
    <t>abazylak@mie.utoronto.ca</t>
  </si>
  <si>
    <t>Bazylak</t>
  </si>
  <si>
    <t>Aimy</t>
  </si>
  <si>
    <t>alison.mcguigan@utoronto.ca</t>
  </si>
  <si>
    <t>McGuigan</t>
  </si>
  <si>
    <t>Alison</t>
  </si>
  <si>
    <t>MPDF-2020-03</t>
  </si>
  <si>
    <t>2 year award</t>
  </si>
  <si>
    <t>thierry.mallevaey@utoronto.ca</t>
  </si>
  <si>
    <t>MALLEVAEY, THIERRY</t>
  </si>
  <si>
    <t>Mallevaey</t>
  </si>
  <si>
    <t>Thierry</t>
  </si>
  <si>
    <t>immunology.office@utoronto.ca</t>
  </si>
  <si>
    <t>MBDNI-2017-05</t>
  </si>
  <si>
    <t>Extension to June 30 2019, Y1: $15,000 supplies:services; Y2 $6,313.73 Services:Supplies</t>
  </si>
  <si>
    <t>bebhinn.treanor@utoronto.ca</t>
  </si>
  <si>
    <t>TREANOR, BEBHINN</t>
  </si>
  <si>
    <t>Treanor</t>
  </si>
  <si>
    <t>Bebhinn</t>
  </si>
  <si>
    <t>UTSC</t>
  </si>
  <si>
    <t>UTSC: Biological Sciences</t>
  </si>
  <si>
    <t>vishnu.rupnaraine@utoronto.ca;rupnaraine@utsc.utoronto.ca</t>
  </si>
  <si>
    <t>MBDNI-2019-01</t>
  </si>
  <si>
    <t>Six month extension: Oct 1, 2020; Second year contingent on progress</t>
  </si>
  <si>
    <t>Rodrigo.fernandez.gonzalez@utoronto.ca</t>
  </si>
  <si>
    <t>FERNANDEZ-GONZALEZ,R</t>
  </si>
  <si>
    <t>Fernandez-Gonzalez</t>
  </si>
  <si>
    <t>Rodrigo</t>
  </si>
  <si>
    <t>EMHS-2017-01</t>
  </si>
  <si>
    <t>Potential of renewal for 1 more year</t>
  </si>
  <si>
    <t>scardovi@scg.utoronto.ca</t>
  </si>
  <si>
    <t>SCARDOVI, LUCA</t>
  </si>
  <si>
    <t>Scardovi</t>
  </si>
  <si>
    <t>Luca</t>
  </si>
  <si>
    <t>Linda Liu</t>
  </si>
  <si>
    <t>C1TPA-2016-19</t>
  </si>
  <si>
    <t>benjamin.hatton@utoronto.ca</t>
  </si>
  <si>
    <t>HATTON, BENJAMIN</t>
  </si>
  <si>
    <t>Hatton</t>
  </si>
  <si>
    <t>Benjamin</t>
  </si>
  <si>
    <t>Materials Science and Engineering </t>
  </si>
  <si>
    <t>materials.engineering@utoronto.ca (maybe)</t>
  </si>
  <si>
    <t>2nd year approved; not renewed for yr3</t>
  </si>
  <si>
    <r>
      <t xml:space="preserve">MIA contribute </t>
    </r>
    <r>
      <rPr>
        <u/>
        <sz val="11"/>
        <color theme="1"/>
        <rFont val="Franklin Gothic Book"/>
        <family val="2"/>
      </rPr>
      <t>15,000 /yr; Surgery contribute $15,000/yr</t>
    </r>
  </si>
  <si>
    <t>penney.gilbert@utoronto.ca</t>
  </si>
  <si>
    <t>Gilbert</t>
  </si>
  <si>
    <t>Penney</t>
  </si>
  <si>
    <t>OMNI-2017-01</t>
  </si>
  <si>
    <t>1 year ($75K total, $37.5K from OIRM)</t>
  </si>
  <si>
    <t>MPDF-2019-04</t>
  </si>
  <si>
    <t>MbDNI-2020-02</t>
  </si>
  <si>
    <t>iscove@uhnresearch.ca</t>
  </si>
  <si>
    <t>ISCOVE, NORMAN</t>
  </si>
  <si>
    <t>Iscove</t>
  </si>
  <si>
    <t>Norman</t>
  </si>
  <si>
    <t>schoellig@utias.utoronto.ca</t>
  </si>
  <si>
    <t>SCHOEILLIG, ANGELA</t>
  </si>
  <si>
    <t>Schoellig</t>
  </si>
  <si>
    <t>Angela</t>
  </si>
  <si>
    <t>Aerospace Studies</t>
  </si>
  <si>
    <t>Priya.Kissoon@utoronto.ca</t>
  </si>
  <si>
    <t>goyal@physics.utoronto.ca</t>
  </si>
  <si>
    <t>Goyal</t>
  </si>
  <si>
    <t>Sidhartha</t>
  </si>
  <si>
    <t>Physics</t>
  </si>
  <si>
    <t>lisaj@physics.utoronto.ca</t>
  </si>
  <si>
    <t>MBDC2-2019-08</t>
  </si>
  <si>
    <t>ediller@mie.utoronto.ca</t>
  </si>
  <si>
    <t>DILLER, ERIC DAVID</t>
  </si>
  <si>
    <t>Diller</t>
  </si>
  <si>
    <t>Eric</t>
  </si>
  <si>
    <t>MBDNI-2017-02</t>
  </si>
  <si>
    <t xml:space="preserve">Extension to Sept 30 2019 </t>
  </si>
  <si>
    <t>anna.goldenberg@utoronto.ca</t>
  </si>
  <si>
    <t>GOLDENBERG, ANNA</t>
  </si>
  <si>
    <t>Goldenberg</t>
  </si>
  <si>
    <t>Anna</t>
  </si>
  <si>
    <t>Computer Science</t>
  </si>
  <si>
    <t>ninah@utoronto.ca</t>
  </si>
  <si>
    <t>hailing.cheng@utoronto.ca</t>
  </si>
  <si>
    <t>Cheng</t>
  </si>
  <si>
    <t>Hai-Ling</t>
  </si>
  <si>
    <t>angela.rosa@utoronto.ca; nancy.calabrese@utoronto.ca</t>
  </si>
  <si>
    <t>C1TPA-2016-08</t>
  </si>
  <si>
    <t>r.winklbauer@utoronto.ca</t>
  </si>
  <si>
    <t>Winklbauer</t>
  </si>
  <si>
    <t>Rudolph</t>
  </si>
  <si>
    <t xml:space="preserve">mikko.taipale@utoronto.ca </t>
  </si>
  <si>
    <t>TAIPALE, MIKKO</t>
  </si>
  <si>
    <t>Taipale</t>
  </si>
  <si>
    <t>Mikko</t>
  </si>
  <si>
    <t>MPDF-2019-01</t>
  </si>
  <si>
    <t>michael.hoffman@utoronto.ca</t>
  </si>
  <si>
    <t>HOFFMAN, MICHAEL</t>
  </si>
  <si>
    <t>Hoffman</t>
  </si>
  <si>
    <t>C1TPA-2016-04</t>
  </si>
  <si>
    <t>ran.kafri@sickkids.ca</t>
  </si>
  <si>
    <t>KAFRI, RAN</t>
  </si>
  <si>
    <t>Kafri</t>
  </si>
  <si>
    <t>Ran</t>
  </si>
  <si>
    <t xml:space="preserve">2nd year approved  </t>
  </si>
  <si>
    <t>keith.pardee@utoronto.ca</t>
  </si>
  <si>
    <t>Pardee</t>
  </si>
  <si>
    <t>Keith</t>
  </si>
  <si>
    <t>C1TPA-2016-06</t>
  </si>
  <si>
    <t>MbDGQ-2021-02</t>
  </si>
  <si>
    <t>robert.hamilton@sickkids.ca</t>
  </si>
  <si>
    <t>HAMILTON, ROBERT</t>
  </si>
  <si>
    <t>Hamilton</t>
  </si>
  <si>
    <t>Robert</t>
  </si>
  <si>
    <t>MBDNI-2019-02</t>
  </si>
  <si>
    <t>juris@ai.utoronto.ca</t>
  </si>
  <si>
    <t>JURISICA, IGOR</t>
  </si>
  <si>
    <t>Jurisica</t>
  </si>
  <si>
    <t>Igor</t>
  </si>
  <si>
    <t>julie.lefebvre@sickkids.ca</t>
  </si>
  <si>
    <t>Lefebvre</t>
  </si>
  <si>
    <t>Julie</t>
  </si>
  <si>
    <t>$72000 released in year 1. Year 1 budget revised to $52000 as per Revised Budget at the time of release of Year 2 funds.Revised Schedule 2 Agreement for Year 1 and Year 2 to be executed.</t>
  </si>
  <si>
    <t>MbDNI-2020-01</t>
  </si>
  <si>
    <t>giles.santyr@sickkids.ca</t>
  </si>
  <si>
    <t>SANTYR, GILES</t>
  </si>
  <si>
    <t>Santyr</t>
  </si>
  <si>
    <t>Giles</t>
  </si>
  <si>
    <t>OMNI-2017-06</t>
  </si>
  <si>
    <t>1 year - no OIRM match, $15,585 Comp to Services</t>
  </si>
  <si>
    <t>clint.robbins@utoronto.ca</t>
  </si>
  <si>
    <t>Robbins</t>
  </si>
  <si>
    <t>Clint</t>
  </si>
  <si>
    <t>MPDF-2020-02</t>
  </si>
  <si>
    <t>Fund has been terminated as of April 12, 2021. Refund of $10,024.83 received from UHN</t>
  </si>
  <si>
    <t>nagy@lunenfeld.ca</t>
  </si>
  <si>
    <t>Nagy</t>
  </si>
  <si>
    <t>Andras</t>
  </si>
  <si>
    <t>Obstetrics</t>
  </si>
  <si>
    <t>OMNI PDF</t>
  </si>
  <si>
    <t>Annual 50k total w $25k from OIRM</t>
  </si>
  <si>
    <t xml:space="preserve">Project Manager Salary added </t>
  </si>
  <si>
    <t>Markus.Selzner@uhn.ca</t>
  </si>
  <si>
    <t>SELZNER, MARKUS</t>
  </si>
  <si>
    <t>Selzner</t>
  </si>
  <si>
    <t>Markus</t>
  </si>
  <si>
    <t>juri.reimand@oicr.on.ca</t>
  </si>
  <si>
    <t>REIMAND, JURI</t>
  </si>
  <si>
    <t>Reimand</t>
  </si>
  <si>
    <t>Juri</t>
  </si>
  <si>
    <t>merle.casci@utoronto.ca ; casci@sri.utoronto.ca</t>
  </si>
  <si>
    <t>Funds transferred from OICR to UofT compens-s</t>
  </si>
  <si>
    <t>Robert.Devenyi@uhn.ca</t>
  </si>
  <si>
    <t>DEVENYI, ROBERT G</t>
  </si>
  <si>
    <t>Devenyi</t>
  </si>
  <si>
    <t>Opthamology</t>
  </si>
  <si>
    <t>elizabeth.den.hartog@utoronto.ca</t>
  </si>
  <si>
    <t>cnostro@uhnresearch.ca</t>
  </si>
  <si>
    <t>Nostro</t>
  </si>
  <si>
    <t>C1TPA-2016-14</t>
  </si>
  <si>
    <t>MPDF-2017-02</t>
  </si>
  <si>
    <t>2 yr 4 mo. award - start date Dec 1 2017 (Y1 budget pro-rated); Nov 26 2019: funding extension to Dec 31 2020 and award top-up to $150,000 (+$33,333)</t>
  </si>
  <si>
    <t>MbDGQ-2021-01</t>
  </si>
  <si>
    <t>tae-hee.kim@sickkids.ca</t>
  </si>
  <si>
    <t>KIM, TAE-HEE</t>
  </si>
  <si>
    <t>Kim</t>
  </si>
  <si>
    <t>Tae-Hee</t>
  </si>
  <si>
    <t>MPDF-2018-03</t>
  </si>
  <si>
    <t>2 yr 11 mo. award - start date May 1 2018 (Y1 budget pro-rated); 3 month extension to July 31</t>
  </si>
  <si>
    <t>martin.post@sickkids.ca</t>
  </si>
  <si>
    <t>POST, MARTIN</t>
  </si>
  <si>
    <t>Post</t>
  </si>
  <si>
    <t>Martin</t>
  </si>
  <si>
    <t>1 year - no OIRM match</t>
  </si>
  <si>
    <t>schramek@lunenfeld.ca</t>
  </si>
  <si>
    <t>SCHRAMEK, DANIEL</t>
  </si>
  <si>
    <t>Schramek</t>
  </si>
  <si>
    <t>Daniel</t>
  </si>
  <si>
    <t>MPDF-2017-04</t>
  </si>
  <si>
    <t>MPDF-2019-03</t>
  </si>
  <si>
    <t>Slava.Epelman@uhn.ca</t>
  </si>
  <si>
    <t>Epelman</t>
  </si>
  <si>
    <t>Slava</t>
  </si>
  <si>
    <t>OMPDF-2017-02</t>
  </si>
  <si>
    <t>Annual 50k total w $25k from OIRM. Award terminated as of 31 May 2018</t>
  </si>
  <si>
    <t>MBDC2-2019-09</t>
  </si>
  <si>
    <t>phyllis.billia@uhn.ca</t>
  </si>
  <si>
    <t>Billia</t>
  </si>
  <si>
    <t>Phyllis</t>
  </si>
  <si>
    <t>MBDNI-2017-01</t>
  </si>
  <si>
    <t>No year 1 budget; Extension to Dec 31 2019</t>
  </si>
  <si>
    <t>.</t>
  </si>
  <si>
    <t>naoto.hirano@utoronto.ca</t>
  </si>
  <si>
    <t>Hirano</t>
  </si>
  <si>
    <t>Naoto</t>
  </si>
  <si>
    <t>tmcgaha@uhnresearch.ca</t>
  </si>
  <si>
    <t>McGaha</t>
  </si>
  <si>
    <t>Tracy</t>
  </si>
  <si>
    <t>C1TPA-2016-09</t>
  </si>
  <si>
    <t>alain.dabdoub@sri.utoronto.ca</t>
  </si>
  <si>
    <t>DABDOUB, ALAIN</t>
  </si>
  <si>
    <t>Dabdoub</t>
  </si>
  <si>
    <t>Alain</t>
  </si>
  <si>
    <t>Otololaryngology</t>
  </si>
  <si>
    <t>audrea.martin@utoronto.ca</t>
  </si>
  <si>
    <t>Extension to July 2018</t>
  </si>
  <si>
    <t>MBDNISF-2019-03</t>
  </si>
  <si>
    <t>jason.maynes@sickkids.ca</t>
  </si>
  <si>
    <t>MAYNES, JASON T.</t>
  </si>
  <si>
    <t>Maynes</t>
  </si>
  <si>
    <t xml:space="preserve">Anaesthesia </t>
  </si>
  <si>
    <t>businessmanager.anesthesia@utoronto.ca</t>
  </si>
  <si>
    <t>michael.laflamme@uhnresearch.ca</t>
  </si>
  <si>
    <t>Laflamme</t>
  </si>
  <si>
    <t>$204,866 cash contribution BlueRock Therapeutics (Versant/Bayer), extension to June 30 2018</t>
  </si>
  <si>
    <t>EMHS-2020-01</t>
  </si>
  <si>
    <t>m.moran@utoronto.ca</t>
  </si>
  <si>
    <t>MORAN, MICHAEL F</t>
  </si>
  <si>
    <t>Moran</t>
  </si>
  <si>
    <t>sara.vasconcelos@utoronto.ca</t>
  </si>
  <si>
    <t>Vasconcelos</t>
  </si>
  <si>
    <t>Sara</t>
  </si>
  <si>
    <t>christoph.licht@sickkids.ca</t>
  </si>
  <si>
    <t>LICHT, CHRISTOPH</t>
  </si>
  <si>
    <t>Licht</t>
  </si>
  <si>
    <t>Christoph</t>
  </si>
  <si>
    <t>MbDSP-2020-02</t>
  </si>
  <si>
    <t>mlupien@uhnresearch.ca</t>
  </si>
  <si>
    <t>Lupien</t>
  </si>
  <si>
    <t>Mathieu</t>
  </si>
  <si>
    <t>trevor.pugh@utoronto.ca</t>
  </si>
  <si>
    <t>PUGH, TREVOR</t>
  </si>
  <si>
    <t>Pugh</t>
  </si>
  <si>
    <t>Trevor</t>
  </si>
  <si>
    <t>vwallace@uhnresearch.ca</t>
  </si>
  <si>
    <t>Wallace</t>
  </si>
  <si>
    <t>Valerie</t>
  </si>
  <si>
    <t>OMPDF-2017-01</t>
  </si>
  <si>
    <t>dbrooks@uhnresearch.ca</t>
  </si>
  <si>
    <t>BROOKS, DAVID</t>
  </si>
  <si>
    <t>Brooks</t>
  </si>
  <si>
    <t>David</t>
  </si>
  <si>
    <t>Marcelo.Cypel@uhn.ca</t>
  </si>
  <si>
    <t>Cypel</t>
  </si>
  <si>
    <t>Marcelo</t>
  </si>
  <si>
    <t>john.calarco@utoronto.ca</t>
  </si>
  <si>
    <t>CALARCO, JOHN ANTHONY</t>
  </si>
  <si>
    <t>Calarco</t>
  </si>
  <si>
    <t>John</t>
  </si>
  <si>
    <t>Not funded in Year 1</t>
  </si>
  <si>
    <t>Lab</t>
  </si>
  <si>
    <t>CFREF-2017</t>
  </si>
  <si>
    <t>Lab Operating Expenses</t>
  </si>
  <si>
    <t>Recr</t>
  </si>
  <si>
    <t xml:space="preserve">Fund extended </t>
  </si>
  <si>
    <t>maryam.faiz@utoronto.ca</t>
  </si>
  <si>
    <t>Faiz</t>
  </si>
  <si>
    <t>Maryam</t>
  </si>
  <si>
    <t>stephen.juvet@uhn.ca</t>
  </si>
  <si>
    <t>JUVET, STEPHEN</t>
  </si>
  <si>
    <t>Juvet</t>
  </si>
  <si>
    <t>Stephen</t>
  </si>
  <si>
    <t>OMNI-2017-02</t>
  </si>
  <si>
    <t>Binita.Kamath@sickkids.ca</t>
  </si>
  <si>
    <t>KAMATH, BINITA</t>
  </si>
  <si>
    <t>Kamath</t>
  </si>
  <si>
    <t>Binita</t>
  </si>
  <si>
    <t>OMNI-2017-03</t>
  </si>
  <si>
    <t>cschuurm@sri.utoronto.ca</t>
  </si>
  <si>
    <t>Schuurmans</t>
  </si>
  <si>
    <t>Carol</t>
  </si>
  <si>
    <t>thomas.hurd@utoronto.ca</t>
  </si>
  <si>
    <t>HURD, THOMAS</t>
  </si>
  <si>
    <t xml:space="preserve">Hurd </t>
  </si>
  <si>
    <t>Thomas</t>
  </si>
  <si>
    <t>Lab operating expenses. 6 month extension</t>
  </si>
  <si>
    <t>Salary support</t>
  </si>
  <si>
    <t>s.macparland@utoronto.ca</t>
  </si>
  <si>
    <t>MacParland</t>
  </si>
  <si>
    <t>Sonya</t>
  </si>
  <si>
    <t>MbDPEFR1-2021-02</t>
  </si>
  <si>
    <t>unspent balance of salary support from 504879 reallocated to lab (original award: 365000) budget incr by $67,500</t>
  </si>
  <si>
    <t>yun.li@sickkids.ca</t>
  </si>
  <si>
    <t>LI</t>
  </si>
  <si>
    <t>Yun</t>
  </si>
  <si>
    <t>Lab expenses and equipment</t>
  </si>
  <si>
    <t>Li</t>
  </si>
  <si>
    <t>donna.wall@sickkids.ca</t>
  </si>
  <si>
    <t>WALL, DONNA</t>
  </si>
  <si>
    <t xml:space="preserve">Wall </t>
  </si>
  <si>
    <t>Donna</t>
  </si>
  <si>
    <t>MBDNI-2018-04</t>
  </si>
  <si>
    <t>Fund Terminated. Budget reduced by $51,106 and returned to lead fund</t>
  </si>
  <si>
    <t>sarah.crome@uhnresearch.ca</t>
  </si>
  <si>
    <t>Crome</t>
  </si>
  <si>
    <t>Sarah</t>
  </si>
  <si>
    <t>MBDNISF-2019-02</t>
  </si>
  <si>
    <t xml:space="preserve">Unspent balance reallocated of salary support reallocated to lap operating. </t>
  </si>
  <si>
    <t>MbDNISF-2020-02</t>
  </si>
  <si>
    <t>Partial Budget Released as per Executed Partial Funding Release Request form. Biosafety protocol approved on Sept 27, 2020</t>
  </si>
  <si>
    <t>Stephanie.Protze@uhnresearch.ca</t>
  </si>
  <si>
    <t>Protze</t>
  </si>
  <si>
    <t>Stephanie</t>
  </si>
  <si>
    <t>Lab operating expenses</t>
  </si>
  <si>
    <t>Extension. Unspent balance of 506210 reallocated</t>
  </si>
  <si>
    <t>Jennifer.Chung@uhn.ca</t>
  </si>
  <si>
    <t>CHUNG, JENNIFER</t>
  </si>
  <si>
    <t>Chung</t>
  </si>
  <si>
    <t>Jennifer</t>
  </si>
  <si>
    <t>philip.awadalla@oicr.on.ca</t>
  </si>
  <si>
    <t>Awadalla</t>
  </si>
  <si>
    <t>nilesh.ghugre@utoronto.ca / nghugre@sri.utoronto.ca</t>
  </si>
  <si>
    <t>GHURGRE, NILESH</t>
  </si>
  <si>
    <t>Ghurgre</t>
  </si>
  <si>
    <t>Nilesh</t>
  </si>
  <si>
    <t>mark.friedberg@utoronto.ca</t>
  </si>
  <si>
    <t>Friedberg</t>
  </si>
  <si>
    <t>Mark</t>
  </si>
  <si>
    <t>stevenmc.chan@utoronto.ca</t>
  </si>
  <si>
    <t>Chan</t>
  </si>
  <si>
    <t>Steven</t>
  </si>
  <si>
    <t>shinichiro.ogawa@uhnresearch.ca</t>
  </si>
  <si>
    <t>Ogawa</t>
  </si>
  <si>
    <t>Shinichiro</t>
  </si>
  <si>
    <t>MBDC2-2019-07</t>
  </si>
  <si>
    <t>Julien Muffat &lt;julien.muffat@sickkids.ca&gt;</t>
  </si>
  <si>
    <t>Muffat</t>
  </si>
  <si>
    <t>Julien</t>
  </si>
  <si>
    <t>MPDF-2020-01</t>
  </si>
  <si>
    <t>apwong@sickkids.ca</t>
  </si>
  <si>
    <t>Wong</t>
  </si>
  <si>
    <t>Amy</t>
  </si>
  <si>
    <t>MbDNI-2020-03</t>
  </si>
  <si>
    <t>agostino.pierro@sickkids.ca</t>
  </si>
  <si>
    <t>Pierro</t>
  </si>
  <si>
    <t>Agostino</t>
  </si>
  <si>
    <t>d.godt@utoronto.ca</t>
  </si>
  <si>
    <t>GODT DOROTHEA PROF.</t>
  </si>
  <si>
    <t>Godt</t>
  </si>
  <si>
    <t>Dorothea</t>
  </si>
  <si>
    <t>wrana@lunenfeld.ca</t>
  </si>
  <si>
    <t>Wrana</t>
  </si>
  <si>
    <t>Jeff</t>
  </si>
  <si>
    <t>MPDF-2017-03</t>
  </si>
  <si>
    <t>b.blencowe@utoronto.ca</t>
  </si>
  <si>
    <t>Blencowe</t>
  </si>
  <si>
    <t>Ben</t>
  </si>
  <si>
    <t>konstantin@mie.utoronto.ca; yelena.shved.idowu@utoronto.ca</t>
  </si>
  <si>
    <t>ss.gao@utoronto.ca</t>
  </si>
  <si>
    <t>EDIAMANDIS@MTSINAI.ON.CA</t>
  </si>
  <si>
    <t>Diamandis</t>
  </si>
  <si>
    <t>Eleftherios</t>
  </si>
  <si>
    <t>charlie.boone@utoronto.ca</t>
  </si>
  <si>
    <t>BOONE, CHARLIE</t>
  </si>
  <si>
    <t>Boone</t>
  </si>
  <si>
    <t>Charlie</t>
  </si>
  <si>
    <t>liliana.attisano@utoronto.ca</t>
  </si>
  <si>
    <t>Attisano</t>
  </si>
  <si>
    <t>Liliana</t>
  </si>
  <si>
    <t>MBDC2-2019-11</t>
  </si>
  <si>
    <t>bear@sickkids.ca</t>
  </si>
  <si>
    <t>Bear</t>
  </si>
  <si>
    <t>Christine</t>
  </si>
  <si>
    <t>derek.van.der.kooy@utoronto.ca</t>
  </si>
  <si>
    <t>van der Kooy</t>
  </si>
  <si>
    <t>Derek</t>
  </si>
  <si>
    <t>scott.heximer@utoronto.ca</t>
  </si>
  <si>
    <t>HEXIMER, SCOTT</t>
  </si>
  <si>
    <t>Heximer</t>
  </si>
  <si>
    <t>Scott</t>
  </si>
  <si>
    <t>roman@eecg.utoronto.ca</t>
  </si>
  <si>
    <t>GENOV, ROMAN</t>
  </si>
  <si>
    <t>Gevov</t>
  </si>
  <si>
    <t>Roman</t>
  </si>
  <si>
    <t>Jennifer Rodrigues &lt;jennifer.rodrigues@utoronto.ca&gt;</t>
  </si>
  <si>
    <t>durocher@lunenfeld.ca</t>
  </si>
  <si>
    <t>DUROCHER,DANIEL</t>
  </si>
  <si>
    <t>Durocher</t>
  </si>
  <si>
    <t>Leong-poiH@smh.ca</t>
  </si>
  <si>
    <t>LEONG-POI, HOWARD</t>
  </si>
  <si>
    <t>Leong-Poi</t>
  </si>
  <si>
    <t>Howard</t>
  </si>
  <si>
    <t>SMH</t>
  </si>
  <si>
    <t>MBDNI-2018-01</t>
  </si>
  <si>
    <t>david.kaplan@sickkids.ca</t>
  </si>
  <si>
    <t>Kaplan</t>
  </si>
  <si>
    <t>david.mcmillen@utoronto.ca</t>
  </si>
  <si>
    <t>MCMILLEN, DAVID</t>
  </si>
  <si>
    <t>McMillen</t>
  </si>
  <si>
    <t>jdick@uhnresearch.ca</t>
  </si>
  <si>
    <t>Dick</t>
  </si>
  <si>
    <t>MbDSP-2020-01</t>
  </si>
  <si>
    <t>jane.batt@utoronto.ca</t>
  </si>
  <si>
    <t>BATT, JANE</t>
  </si>
  <si>
    <t>Batt</t>
  </si>
  <si>
    <t>Jane</t>
  </si>
  <si>
    <t>jan.robertson@utoronto.ca</t>
  </si>
  <si>
    <t>ROBERTSON, JANICE</t>
  </si>
  <si>
    <t>Robertson</t>
  </si>
  <si>
    <t>Janice</t>
  </si>
  <si>
    <t>ravinder.dhillon@utoronto.ca</t>
  </si>
  <si>
    <t>jparkin@sickkids.ca</t>
  </si>
  <si>
    <t>PARKINSON, JOHN</t>
  </si>
  <si>
    <t>Parkinson</t>
  </si>
  <si>
    <t>manderso111@gmail.com</t>
  </si>
  <si>
    <t>ANDERSON, MICHELE</t>
  </si>
  <si>
    <t>Anderson</t>
  </si>
  <si>
    <t>Michele</t>
  </si>
  <si>
    <t>MBDNICL-2017-01</t>
  </si>
  <si>
    <t>Extended to Sept 30,2018</t>
  </si>
  <si>
    <t>m.radisic@utoronto.ca</t>
  </si>
  <si>
    <t>RADISIC, MILICA</t>
  </si>
  <si>
    <t>Radisic</t>
  </si>
  <si>
    <t>Milica</t>
  </si>
  <si>
    <t>dana.philpott@utoronto.ca</t>
  </si>
  <si>
    <t>PHILPOTT, DANA</t>
  </si>
  <si>
    <t>Philpott</t>
  </si>
  <si>
    <t>Dana</t>
  </si>
  <si>
    <t>gary.bader@utoronto.ca</t>
  </si>
  <si>
    <t>Bader</t>
  </si>
  <si>
    <t>Gary</t>
  </si>
  <si>
    <t>Original budget reduced by $5,791.44 to return unspent balance to lead fund. Fund end date: Oct 27, 2016</t>
  </si>
  <si>
    <t>khynynen@sri.utoronto.ca</t>
  </si>
  <si>
    <t>HYNYEN, KULLERVO</t>
  </si>
  <si>
    <t>Hynynen</t>
  </si>
  <si>
    <t>Kullervo</t>
  </si>
  <si>
    <t>mcneill@mshri.on.ca</t>
  </si>
  <si>
    <t>MCNEILL, HELEN</t>
  </si>
  <si>
    <t>McNeill</t>
  </si>
  <si>
    <t>Helen</t>
  </si>
  <si>
    <t>shana.kelley@utoronto.ca</t>
  </si>
  <si>
    <t>Kelley</t>
  </si>
  <si>
    <t>Shana</t>
  </si>
  <si>
    <t>Original budget reduced by $1,478.53 to return unspent balance to lead fund</t>
  </si>
  <si>
    <t>sevan.hopyan@sickkids.ca</t>
  </si>
  <si>
    <t>Hopyan</t>
  </si>
  <si>
    <t>Sevan</t>
  </si>
  <si>
    <t>erklj</t>
  </si>
  <si>
    <t>MPDF-2020-04</t>
  </si>
  <si>
    <t>michael.wilson@sickkids.ca</t>
  </si>
  <si>
    <t>WILSON, MICHAEL</t>
  </si>
  <si>
    <t>Wilson</t>
  </si>
  <si>
    <t>gingras@lunenfeld.ca</t>
  </si>
  <si>
    <t>GINGRAS, ANNE</t>
  </si>
  <si>
    <t>Gingras</t>
  </si>
  <si>
    <t>Anne-Claude</t>
  </si>
  <si>
    <t>pelletier@lunenfeld.ca</t>
  </si>
  <si>
    <t>Pelletier</t>
  </si>
  <si>
    <t>Laurence</t>
  </si>
  <si>
    <t>sachdev.sidhu@utoronto.ca</t>
  </si>
  <si>
    <t>Sidhu</t>
  </si>
  <si>
    <t>Sachdev</t>
  </si>
  <si>
    <t>Original budget reduced by $1.27 to return unspent balance to lead fund</t>
  </si>
  <si>
    <t>jellis@sickkids.ca</t>
  </si>
  <si>
    <t>ELLIS, JAMES</t>
  </si>
  <si>
    <t>Ellis</t>
  </si>
  <si>
    <t>James</t>
  </si>
  <si>
    <t>MBDNICL-2017-03</t>
  </si>
  <si>
    <t>freda.miller@sickkids.ca</t>
  </si>
  <si>
    <t>Miller</t>
  </si>
  <si>
    <t>Freda</t>
  </si>
  <si>
    <t>MPDF-2018-04</t>
  </si>
  <si>
    <t>ja.mitchell@utoronto.ca</t>
  </si>
  <si>
    <t>MITCHELL, JENNIFER</t>
  </si>
  <si>
    <t>Mitchell</t>
  </si>
  <si>
    <t>MBDNICL-2017-04</t>
  </si>
  <si>
    <t xml:space="preserve"> Extended to Sept 30,2018</t>
  </si>
  <si>
    <t>Lincoln.stein@gmail.com</t>
  </si>
  <si>
    <t>STEIN, LINCOLN</t>
  </si>
  <si>
    <t>Stein</t>
  </si>
  <si>
    <t>Lincoln</t>
  </si>
  <si>
    <t>oicr</t>
  </si>
  <si>
    <t>MbDNISF-2020-03</t>
  </si>
  <si>
    <t>gkeller@uhnresearch.ca</t>
  </si>
  <si>
    <t>Keller</t>
  </si>
  <si>
    <t>Gordon</t>
  </si>
  <si>
    <t>Extension to Dec 31 2019</t>
  </si>
  <si>
    <t>MPDF-2018-02</t>
  </si>
  <si>
    <t>2 yr 11 mo. award - start date May 1 2018 (Y1 budget pro-rated)</t>
  </si>
  <si>
    <t>fritz.roth@utoronto.ca</t>
  </si>
  <si>
    <t>ROTH, FREDERICK</t>
  </si>
  <si>
    <t>Roth</t>
  </si>
  <si>
    <t>Frederick</t>
  </si>
  <si>
    <t>bretpearson.utoronto@gmail.com</t>
  </si>
  <si>
    <t>PEARSON, BRET</t>
  </si>
  <si>
    <t>Pearson</t>
  </si>
  <si>
    <t>Bret</t>
  </si>
  <si>
    <t>jason.fish@utoronto.ca</t>
  </si>
  <si>
    <t>Fish</t>
  </si>
  <si>
    <t>ian.mcgilvray@uhn.on.ca</t>
  </si>
  <si>
    <t>McGilvray</t>
  </si>
  <si>
    <t>Ian</t>
  </si>
  <si>
    <t>jon.rocheleau@utoronto.ca</t>
  </si>
  <si>
    <t>ROCHELEAU, JONATHAN</t>
  </si>
  <si>
    <t>Rocheleau</t>
  </si>
  <si>
    <t>Jonathan</t>
  </si>
  <si>
    <t>IBBME  contribute $15,0000/yr; Physiology contribute $15,000/yr</t>
  </si>
  <si>
    <t>beate.sander@uhnresearch.ca</t>
  </si>
  <si>
    <t>Sander</t>
  </si>
  <si>
    <t>Beate</t>
  </si>
  <si>
    <t>DLSPH</t>
  </si>
  <si>
    <t>Institute of Health Policy Management and Evaluation</t>
  </si>
  <si>
    <t xml:space="preserve">ihpme.manager@utoronto.ca </t>
  </si>
  <si>
    <t>MbDSP-2021-01</t>
  </si>
  <si>
    <t>nir.lipsman@utoronto.ca</t>
  </si>
  <si>
    <t>LIPSMAN, NIR</t>
  </si>
  <si>
    <t>Lipsman</t>
  </si>
  <si>
    <t>Nir</t>
  </si>
  <si>
    <t>Not funded in Year 1 nor Year 2</t>
  </si>
  <si>
    <t>mrsantos@lunenfeld.ca</t>
  </si>
  <si>
    <t>Ramalho-Santos</t>
  </si>
  <si>
    <t>Miguel</t>
  </si>
  <si>
    <t>MBDNISF-2019-04</t>
  </si>
  <si>
    <t>courtneyl.jones@utoronto.ca</t>
  </si>
  <si>
    <t>Jones</t>
  </si>
  <si>
    <t>Courtney</t>
  </si>
  <si>
    <t>CFREF-2021</t>
  </si>
  <si>
    <t>kristin.alexander@utoronto.ca</t>
  </si>
  <si>
    <t>Hope</t>
  </si>
  <si>
    <t>Kristin</t>
  </si>
  <si>
    <t>sagi.abelson@utoronto.ca</t>
  </si>
  <si>
    <t>Abelson</t>
  </si>
  <si>
    <t>Sagi</t>
  </si>
  <si>
    <t>CHAO.WANG@SRI.UTORONTO.CA</t>
  </si>
  <si>
    <t>Wang</t>
  </si>
  <si>
    <t>Chao</t>
  </si>
  <si>
    <t>h.jackson@utoronto.ca</t>
  </si>
  <si>
    <t>HARTLAND, JACKSON</t>
  </si>
  <si>
    <t>Hartland</t>
  </si>
  <si>
    <t>Jackson</t>
  </si>
  <si>
    <t>Budget total</t>
  </si>
  <si>
    <t>*</t>
  </si>
  <si>
    <t>Transition &amp; MbD awards use alternate budget categ.</t>
  </si>
  <si>
    <t>April 2020 Period</t>
  </si>
  <si>
    <t>208616</t>
  </si>
  <si>
    <t>506448</t>
  </si>
  <si>
    <t>506449</t>
  </si>
  <si>
    <t>506450</t>
  </si>
  <si>
    <t>506451</t>
  </si>
  <si>
    <t>212504</t>
  </si>
  <si>
    <t>506457</t>
  </si>
  <si>
    <t>506459</t>
  </si>
  <si>
    <t>506460</t>
  </si>
  <si>
    <t>PARDEE K MAHADEVAN MBDNI-2018</t>
  </si>
  <si>
    <t>505362</t>
  </si>
  <si>
    <t>505749</t>
  </si>
  <si>
    <t>504839</t>
  </si>
  <si>
    <t>504875</t>
  </si>
  <si>
    <t>504320</t>
  </si>
  <si>
    <t>504321</t>
  </si>
  <si>
    <t>504322</t>
  </si>
  <si>
    <t>(blank)</t>
  </si>
  <si>
    <t>Budget Reduction</t>
  </si>
  <si>
    <t>Includes budget reduction</t>
  </si>
  <si>
    <t>New Hire Faculty Support- Yun LI and Omar Khan</t>
  </si>
  <si>
    <t>New Funded PI's</t>
  </si>
  <si>
    <t>Duplicate Reference</t>
  </si>
  <si>
    <t>Duplicate?</t>
  </si>
  <si>
    <t>PI Name</t>
  </si>
  <si>
    <t>499942,107525</t>
  </si>
  <si>
    <t>501333,207444</t>
  </si>
  <si>
    <t>501337,208379</t>
  </si>
  <si>
    <t>501339,208379</t>
  </si>
  <si>
    <t>502535,208616</t>
  </si>
  <si>
    <t>504320,205554</t>
  </si>
  <si>
    <t>504321,205839</t>
  </si>
  <si>
    <t>504322,208617</t>
  </si>
  <si>
    <t>504839,209210</t>
  </si>
  <si>
    <t>504875,209210</t>
  </si>
  <si>
    <t>505082,212504</t>
  </si>
  <si>
    <t>505362,209346</t>
  </si>
  <si>
    <t>505749,209403</t>
  </si>
  <si>
    <t>506448,208217</t>
  </si>
  <si>
    <t>506449,203820</t>
  </si>
  <si>
    <t>506450,208620</t>
  </si>
  <si>
    <t>506451,207233</t>
  </si>
  <si>
    <t>506456,207032</t>
  </si>
  <si>
    <t>506456,209438</t>
  </si>
  <si>
    <t>506457,208406</t>
  </si>
  <si>
    <t>506457,212361</t>
  </si>
  <si>
    <t>506458,205547</t>
  </si>
  <si>
    <t>506458,212183</t>
  </si>
  <si>
    <t>506459,205993</t>
  </si>
  <si>
    <t>506459,208379</t>
  </si>
  <si>
    <t>PARDEE K MBDNI-2019</t>
  </si>
  <si>
    <t>506459,208617</t>
  </si>
  <si>
    <t>507637,206014</t>
  </si>
  <si>
    <t>507637,207636</t>
  </si>
  <si>
    <t>507637,208625</t>
  </si>
  <si>
    <t>507637,208728</t>
  </si>
  <si>
    <t>507637,209491</t>
  </si>
  <si>
    <t>507637,209660</t>
  </si>
  <si>
    <t>507637,211152</t>
  </si>
  <si>
    <t>507637,212636</t>
  </si>
  <si>
    <t>507638,203770</t>
  </si>
  <si>
    <t>507638,203820</t>
  </si>
  <si>
    <t>507638,206595</t>
  </si>
  <si>
    <t>507638,207233</t>
  </si>
  <si>
    <t>507638,207444</t>
  </si>
  <si>
    <t>507638,209210</t>
  </si>
  <si>
    <t>507638,211256</t>
  </si>
  <si>
    <t>507638,211963</t>
  </si>
  <si>
    <t>507638,212504</t>
  </si>
  <si>
    <t>507639,206147</t>
  </si>
  <si>
    <t>507639,206205</t>
  </si>
  <si>
    <t>507639,206595</t>
  </si>
  <si>
    <t>507639,208379</t>
  </si>
  <si>
    <t>507639,210174</t>
  </si>
  <si>
    <t>507639,212065</t>
  </si>
  <si>
    <t>507639,212361</t>
  </si>
  <si>
    <t>507641,203173</t>
  </si>
  <si>
    <t>507641,203820</t>
  </si>
  <si>
    <t>507641,205592</t>
  </si>
  <si>
    <t>507641,208897</t>
  </si>
  <si>
    <t>507641,208934</t>
  </si>
  <si>
    <t>507642,200150</t>
  </si>
  <si>
    <t>507642,208607</t>
  </si>
  <si>
    <t>507642,212714</t>
  </si>
  <si>
    <t>507643,201921</t>
  </si>
  <si>
    <t>507643,208489</t>
  </si>
  <si>
    <t>507643,208810</t>
  </si>
  <si>
    <t>507643,211134</t>
  </si>
  <si>
    <t>507693,201921</t>
  </si>
  <si>
    <t>507693,206130</t>
  </si>
  <si>
    <t>507693,209184</t>
  </si>
  <si>
    <t>507693,209766</t>
  </si>
  <si>
    <t>507693,211063</t>
  </si>
  <si>
    <t>507693,211963</t>
  </si>
  <si>
    <t>507693,212636</t>
  </si>
  <si>
    <t>507693,212893</t>
  </si>
  <si>
    <t>507776,208625</t>
  </si>
  <si>
    <t>507776,208628</t>
  </si>
  <si>
    <t>507776,208808</t>
  </si>
  <si>
    <t>507776,209476</t>
  </si>
  <si>
    <t>507776,209711</t>
  </si>
  <si>
    <t>507776,211377</t>
  </si>
  <si>
    <t>507776,211963</t>
  </si>
  <si>
    <t>507777,203561</t>
  </si>
  <si>
    <t>507777,203628</t>
  </si>
  <si>
    <t>507777,206121</t>
  </si>
  <si>
    <t>507777,206470</t>
  </si>
  <si>
    <t>507777,208815</t>
  </si>
  <si>
    <t>507778,207444</t>
  </si>
  <si>
    <t>507778,210089</t>
  </si>
  <si>
    <t>507778,210174</t>
  </si>
  <si>
    <t>507778,211058</t>
  </si>
  <si>
    <t>507778,212343</t>
  </si>
  <si>
    <t>507779,200037</t>
  </si>
  <si>
    <t>507779,208609</t>
  </si>
  <si>
    <t>507779,208616</t>
  </si>
  <si>
    <t>507779,208630</t>
  </si>
  <si>
    <t>507779,208631</t>
  </si>
  <si>
    <t>507779,208750</t>
  </si>
  <si>
    <t>507779,209346</t>
  </si>
  <si>
    <t>507782,202616</t>
  </si>
  <si>
    <t>508292,211058</t>
  </si>
  <si>
    <t>509180,209792</t>
  </si>
  <si>
    <t>509181,209792</t>
  </si>
  <si>
    <t>509284,206595</t>
  </si>
  <si>
    <t>509285,209801</t>
  </si>
  <si>
    <t>509588,208607</t>
  </si>
  <si>
    <t>509589,212183</t>
  </si>
  <si>
    <t>509633,209400</t>
  </si>
  <si>
    <t>509653,207233</t>
  </si>
  <si>
    <t>509653,209194</t>
  </si>
  <si>
    <t>509666,208489</t>
  </si>
  <si>
    <t>509666,208810</t>
  </si>
  <si>
    <t>509666,209438</t>
  </si>
  <si>
    <t>509667,209936</t>
  </si>
  <si>
    <t>509703,200483</t>
  </si>
  <si>
    <t>509703,209946</t>
  </si>
  <si>
    <t>509882,206244</t>
  </si>
  <si>
    <t>509882,208725</t>
  </si>
  <si>
    <t>509882,211534</t>
  </si>
  <si>
    <t>511140,212630</t>
  </si>
  <si>
    <t>511440,208728</t>
  </si>
  <si>
    <t>511440,209400</t>
  </si>
  <si>
    <t>Summary</t>
  </si>
  <si>
    <t>Result</t>
  </si>
  <si>
    <t>DIRECTOR,EXECUTIVE</t>
  </si>
  <si>
    <t>Valerie,Wallace</t>
  </si>
  <si>
    <t>WALLACE V OMPDF-2017</t>
  </si>
  <si>
    <t>Jeff,Wrana</t>
  </si>
  <si>
    <t>WRANA J MPDF-2017-03</t>
  </si>
  <si>
    <t>Daniel,Schramek</t>
  </si>
  <si>
    <t>SCHRAMEK D MPDF-2017</t>
  </si>
  <si>
    <t>Cristina,Nostro</t>
  </si>
  <si>
    <t>Peter,Zandstra</t>
  </si>
  <si>
    <t>ZANDSTRA P MPDF-2017</t>
  </si>
  <si>
    <t>Craig,Simmons</t>
  </si>
  <si>
    <t>SIMMONS, CRAIG  - MPDF 2018</t>
  </si>
  <si>
    <t>Aaron,Wheeler</t>
  </si>
  <si>
    <t>WHEELER, AARON  - MPDF 2018</t>
  </si>
  <si>
    <t>KIM, TAE-HEE - MPDF 2018</t>
  </si>
  <si>
    <t>Paul,Santerre</t>
  </si>
  <si>
    <t>SANTERRE, PAUL   - MBDNI</t>
  </si>
  <si>
    <t>Cindi,Morshead</t>
  </si>
  <si>
    <t>MORSHEAD, CINDI - MBDNI 2018</t>
  </si>
  <si>
    <t>Maryam,Faiz</t>
  </si>
  <si>
    <t xml:space="preserve">FAIZ, MARYAM - MBDNI 2018  </t>
  </si>
  <si>
    <t>Melanie,Woodin</t>
  </si>
  <si>
    <t>WOODIN, MELANIE  - MBDNI 2018</t>
  </si>
  <si>
    <t>Janice,Robertson</t>
  </si>
  <si>
    <t xml:space="preserve">ROBERTSON, JANI   - MBDNI 2018 </t>
  </si>
  <si>
    <t>Howard,Leong-Poi</t>
  </si>
  <si>
    <t xml:space="preserve">HOWARD LEONG-POI </t>
  </si>
  <si>
    <t>Jane,Batt</t>
  </si>
  <si>
    <t xml:space="preserve"> BATT, JANE - MBDNI 2018 </t>
  </si>
  <si>
    <t>Yun,LI</t>
  </si>
  <si>
    <t>LI, Y LAB</t>
  </si>
  <si>
    <t xml:space="preserve">LI, Y PI SALARY </t>
  </si>
  <si>
    <t>Hyun (Kate),Lee</t>
  </si>
  <si>
    <t>LEE, H CFREF 2018</t>
  </si>
  <si>
    <t>Patrick,Gunning</t>
  </si>
  <si>
    <t>Freda,Miller</t>
  </si>
  <si>
    <t>Sarah,Crome</t>
  </si>
  <si>
    <t>CROME, SARAH - Faculty Support</t>
  </si>
  <si>
    <t>Stephanie,Protze</t>
  </si>
  <si>
    <t>PROTZE, STEPHANIE - Faculty Support</t>
  </si>
  <si>
    <t>Mikko,Taipale</t>
  </si>
  <si>
    <t>TAIPALE MIKKO</t>
  </si>
  <si>
    <t>MORSHEAD CINDI</t>
  </si>
  <si>
    <t>SCHRAMEK DANIEL</t>
  </si>
  <si>
    <t>Penney,Gilbert</t>
  </si>
  <si>
    <t>GILBERT PENNEY</t>
  </si>
  <si>
    <t>Bebhinn,Treanor</t>
  </si>
  <si>
    <t>TREANOR, BEBHINN LUCY</t>
  </si>
  <si>
    <t>Leo,Chou</t>
  </si>
  <si>
    <t>Robert,Hamilton</t>
  </si>
  <si>
    <t>Sachdev,Sidhu</t>
  </si>
  <si>
    <t>Yu,Sun</t>
  </si>
  <si>
    <t>Sevan,Hopyan</t>
  </si>
  <si>
    <t>Radhakrishnan,Mahadevan</t>
  </si>
  <si>
    <t>Keith,Pardee</t>
  </si>
  <si>
    <t>PARDEE, KEITH</t>
  </si>
  <si>
    <t>Tae-Hee,Kim</t>
  </si>
  <si>
    <t>Cathy,Barr</t>
  </si>
  <si>
    <t>Peter,Carlen</t>
  </si>
  <si>
    <t>Roman,Gevov</t>
  </si>
  <si>
    <t>Alain,Dabdoub</t>
  </si>
  <si>
    <t>Jennifer,Chung</t>
  </si>
  <si>
    <t>Miguel,Ramalho-Santos</t>
  </si>
  <si>
    <t>RAMALO-SANTOS, MIGUEL</t>
  </si>
  <si>
    <t>Angela,Schoellig</t>
  </si>
  <si>
    <t>SCHOELLIG, ANGELA</t>
  </si>
  <si>
    <t>Anthony,Gramolini</t>
  </si>
  <si>
    <t>Hai-Ling,Cheng</t>
  </si>
  <si>
    <t>Hai-Ling Margaret Cheng</t>
  </si>
  <si>
    <t>Slava,Epelman</t>
  </si>
  <si>
    <t>Michael,Laflamme</t>
  </si>
  <si>
    <t>Michael LaFlamme</t>
  </si>
  <si>
    <t>Nilesh,Ghurgre</t>
  </si>
  <si>
    <t>Nilesh R. Ghugre</t>
  </si>
  <si>
    <t>Mark,Friedberg</t>
  </si>
  <si>
    <t>Scott,Heximer</t>
  </si>
  <si>
    <t>Gordon,Keller</t>
  </si>
  <si>
    <t>Alison,McGuigan</t>
  </si>
  <si>
    <t>Sidhartha,Goyal</t>
  </si>
  <si>
    <t>Sid Goyal</t>
  </si>
  <si>
    <t>Yun Li</t>
  </si>
  <si>
    <t>David,Kaplan</t>
  </si>
  <si>
    <t>Gary,Bader</t>
  </si>
  <si>
    <t>Stephane,Angers</t>
  </si>
  <si>
    <t>Jason,Moffat</t>
  </si>
  <si>
    <t>Ben,Blencowe</t>
  </si>
  <si>
    <t>Shana,Kelley</t>
  </si>
  <si>
    <t>Isabelle,Aubert</t>
  </si>
  <si>
    <t>Carol,Schuurmans</t>
  </si>
  <si>
    <t>Carol Shuurmans</t>
  </si>
  <si>
    <t>Myron,Cybulsky</t>
  </si>
  <si>
    <t>Clint,Robbins</t>
  </si>
  <si>
    <t>Jason,Fish</t>
  </si>
  <si>
    <t>Molly,Shoichet</t>
  </si>
  <si>
    <t>Julie,Lefebvre</t>
  </si>
  <si>
    <t>Derek,van der Kooy</t>
  </si>
  <si>
    <t>Axel,Guenther</t>
  </si>
  <si>
    <t>Sonya,MacParland</t>
  </si>
  <si>
    <t>Shinichiro,Ogawa</t>
  </si>
  <si>
    <t>OGAWA, S MBDC2-2019-07</t>
  </si>
  <si>
    <t>Christine,Bear</t>
  </si>
  <si>
    <t>Ian,McGilvray</t>
  </si>
  <si>
    <t>EPELMAN, S MBDC2-2019-08</t>
  </si>
  <si>
    <t>Phyllis,Billia</t>
  </si>
  <si>
    <t>BILLIA</t>
  </si>
  <si>
    <t>BILLIA, F MBCD2-2019-08</t>
  </si>
  <si>
    <t>Mathieu,Lupien</t>
  </si>
  <si>
    <t xml:space="preserve">LUPIEN, M MBDC2-2019-08 </t>
  </si>
  <si>
    <t>Philip,Awadalla</t>
  </si>
  <si>
    <t>AWADALLA, P MBDC2-2019-08</t>
  </si>
  <si>
    <t>Steven,Chan</t>
  </si>
  <si>
    <t>CHAN, S MBDC2-2019-08</t>
  </si>
  <si>
    <t>John,Dick</t>
  </si>
  <si>
    <t>DICK, J MBDC2-2019-08</t>
  </si>
  <si>
    <t>BADER, G MBDC2-2019-08</t>
  </si>
  <si>
    <t>Tom,Waddell</t>
  </si>
  <si>
    <t>WADDELL, T MBDC2-2019-09</t>
  </si>
  <si>
    <t>Shaf,Keshavjee</t>
  </si>
  <si>
    <t>Shafique Keshavjee</t>
  </si>
  <si>
    <t>KESHAVJEE, S MBDC2-2019-09</t>
  </si>
  <si>
    <t>Cristina,Amon</t>
  </si>
  <si>
    <t>AMON, C MBDC2-2019-09</t>
  </si>
  <si>
    <t>Aimy,Bazylak</t>
  </si>
  <si>
    <t>BAZYLAK, A MBDC2-2019-09</t>
  </si>
  <si>
    <t>Marcelo,Cypel</t>
  </si>
  <si>
    <t xml:space="preserve">CYPEL, M MBDC2-2019-09 </t>
  </si>
  <si>
    <t>GOYAL, S MBDC2-2019-20</t>
  </si>
  <si>
    <t>WRANA, J  MBDC2-2019-20</t>
  </si>
  <si>
    <t>BLENCOWE, B MBDC2-2019-20</t>
  </si>
  <si>
    <t>Liliana,Attisano</t>
  </si>
  <si>
    <t>ATTISANO, L MBDC2-2019-20</t>
  </si>
  <si>
    <t>Laurence,Pelletier</t>
  </si>
  <si>
    <t>Lawrence Pelletier</t>
  </si>
  <si>
    <t>PELLETIER, L MBDC2-2019-20</t>
  </si>
  <si>
    <t>Juan Carlos,Zúñiga-Pflücker</t>
  </si>
  <si>
    <t>ZUNIGA, JC MBDC2-2019-11</t>
  </si>
  <si>
    <t>Andras,Nagy</t>
  </si>
  <si>
    <t xml:space="preserve">NAGY, A MBDC2-2019-11 </t>
  </si>
  <si>
    <t>NOSTRO, C MBDC2-2019-11</t>
  </si>
  <si>
    <t>Naoto,Hirano</t>
  </si>
  <si>
    <t>HIRANO, N MBDC2-2019-11</t>
  </si>
  <si>
    <t>Tracy,McGaha</t>
  </si>
  <si>
    <t>MCGAHA, T MBDC2-2019-11</t>
  </si>
  <si>
    <t>Sara,Vasconcelos</t>
  </si>
  <si>
    <t>VASCONCELOS, S MBDC2-2019-11</t>
  </si>
  <si>
    <t>CROME, S MBDC2-2019-11</t>
  </si>
  <si>
    <t>Michael,Sefton</t>
  </si>
  <si>
    <t>Michael Sefton Exec. Director Fund</t>
  </si>
  <si>
    <t xml:space="preserve">ATTISANO, L ORGANOID </t>
  </si>
  <si>
    <t>Sponsor Ref</t>
  </si>
  <si>
    <t>Start</t>
  </si>
  <si>
    <t>End</t>
  </si>
  <si>
    <t>April 2018 Period</t>
  </si>
  <si>
    <t>UofT</t>
  </si>
  <si>
    <t>499942</t>
  </si>
  <si>
    <t>107525</t>
  </si>
  <si>
    <t>Exec Director MedbD</t>
  </si>
  <si>
    <t>500737</t>
  </si>
  <si>
    <t>C1TPA NAGY - PM Support</t>
  </si>
  <si>
    <t>ANDREWS, BRENDA J. DR.</t>
  </si>
  <si>
    <t>ATTISANO, LILLIANA</t>
  </si>
  <si>
    <t>BAZYLAK, A.</t>
  </si>
  <si>
    <t>BEAR, CHRISTINE E.</t>
  </si>
  <si>
    <t>BLENCOWE, B.</t>
  </si>
  <si>
    <t>C1TPA WADDELL - PM Support</t>
  </si>
  <si>
    <t>DEVENYI, ROBERT G.</t>
  </si>
  <si>
    <t>DUROCHER, DANIEL</t>
  </si>
  <si>
    <t>FERNANDEZ-GONZALEZ, R.</t>
  </si>
  <si>
    <t>GOYAL,SIDHARTHA</t>
  </si>
  <si>
    <t>JURISCA, IGOR</t>
  </si>
  <si>
    <t>KESHAVJEE,  SHAFIQUE</t>
  </si>
  <si>
    <t>MAHADEVAN, R.</t>
  </si>
  <si>
    <t>MARSDEN, PHILIP A. DR.</t>
  </si>
  <si>
    <t>MORAN, MICHAEL F.</t>
  </si>
  <si>
    <t>NAGY, ANDRAS PM SALARY</t>
  </si>
  <si>
    <t>ROBBINS, CLINTON S.</t>
  </si>
  <si>
    <t>SEFTON, MV PROF.</t>
  </si>
  <si>
    <t>208610</t>
  </si>
  <si>
    <t>SHOICHET, MOLLY</t>
  </si>
  <si>
    <t>TEPASS, ULRICH</t>
  </si>
  <si>
    <t xml:space="preserve">TEPASS, ULRICH PM SALARY </t>
  </si>
  <si>
    <t>VAN DER KOOY, DEREK J.</t>
  </si>
  <si>
    <t>211134</t>
  </si>
  <si>
    <t>WADDELL, THOMAS PM SALARY</t>
  </si>
  <si>
    <t>212211</t>
  </si>
  <si>
    <t>YIP, CHRISTOPHER</t>
  </si>
  <si>
    <t>ZUNIGA-FLUCKER, JUAN</t>
  </si>
  <si>
    <t>GARTON, MICHAEL JAMES</t>
  </si>
  <si>
    <t>LEO,CHOU</t>
  </si>
  <si>
    <t>208846</t>
  </si>
  <si>
    <t>WALL, DONNA - MBDNI 2018</t>
  </si>
  <si>
    <t>WHEELER, AARON  - MbDNI</t>
  </si>
  <si>
    <t>MORSHEAD, CINDI   - MBDNI</t>
  </si>
  <si>
    <t>502562</t>
  </si>
  <si>
    <t>206976</t>
  </si>
  <si>
    <t>MALLEVAE T MBDNI-201</t>
  </si>
  <si>
    <t>HYNYNEN, K</t>
  </si>
  <si>
    <t>PARKINSON, J</t>
  </si>
  <si>
    <t>DILLER, E</t>
  </si>
  <si>
    <t>MOFFAT - TAIPALE, M MBDNI 2017</t>
  </si>
  <si>
    <t>TAIPALE, M MDNI 2017</t>
  </si>
  <si>
    <t>SIMMONS, CRAIG MBDNI 2017</t>
  </si>
  <si>
    <t>BILLIA, PHYLLIS - SIMMONS MBDNI 2017</t>
  </si>
  <si>
    <t>NOSTRO</t>
  </si>
  <si>
    <t>500689</t>
  </si>
  <si>
    <t>212636</t>
  </si>
  <si>
    <t>500699</t>
  </si>
  <si>
    <t>208609</t>
  </si>
  <si>
    <t>502320</t>
  </si>
  <si>
    <t>208625</t>
  </si>
  <si>
    <t>EPELMAN S OMPDF-2017</t>
  </si>
  <si>
    <t>502531</t>
  </si>
  <si>
    <t>208620</t>
  </si>
  <si>
    <t>502319</t>
  </si>
  <si>
    <t>208810</t>
  </si>
  <si>
    <t>502529</t>
  </si>
  <si>
    <t>210089</t>
  </si>
  <si>
    <t>502553</t>
  </si>
  <si>
    <t>203770</t>
  </si>
  <si>
    <t>505082</t>
  </si>
  <si>
    <t>Funded PI</t>
  </si>
  <si>
    <t>April 2018 - March 2019</t>
  </si>
  <si>
    <t xml:space="preserve">Funded PI's </t>
  </si>
  <si>
    <t>Award Amount</t>
  </si>
  <si>
    <t>Overhead</t>
  </si>
  <si>
    <t xml:space="preserve">Notes:
* 8 individual awards; (13) unique funds
</t>
  </si>
  <si>
    <t>CFREF MbD Awards</t>
  </si>
  <si>
    <t>September 2015 - December 2018</t>
  </si>
  <si>
    <t>Executive Director Funds</t>
  </si>
  <si>
    <t>Cycle1</t>
  </si>
  <si>
    <t>EMHSeed1</t>
  </si>
  <si>
    <t>EMHSeed2</t>
  </si>
  <si>
    <t>New Ideas (Cell Lines)</t>
  </si>
  <si>
    <t>OIRM  New Ideas</t>
  </si>
  <si>
    <t>OMNI Postdoctoral Fellowship</t>
  </si>
  <si>
    <t>April 2017 - March 2018</t>
  </si>
  <si>
    <t>Awarded</t>
  </si>
  <si>
    <t>.Executive Director Funds</t>
  </si>
  <si>
    <t>EMHSeed 1</t>
  </si>
  <si>
    <t>EMHSeed 2</t>
  </si>
  <si>
    <t>OIRM New Ideas</t>
  </si>
  <si>
    <t>Postdoctoal Fellowship</t>
  </si>
  <si>
    <t xml:space="preserve"> CFREF MbD Funding Released April 2017-March 2018</t>
  </si>
  <si>
    <t>Name</t>
  </si>
  <si>
    <t>210174</t>
  </si>
  <si>
    <t>BLENCOWE ELLIS J C1TPA-2016-0</t>
  </si>
  <si>
    <t>CALARCO - ELLIS J C1TPA-2016-0</t>
  </si>
  <si>
    <t>ELLIS J C1TPA-2016-0</t>
  </si>
  <si>
    <t>MILLER - ELLIS J C1TPA-2016-0</t>
  </si>
  <si>
    <t>205818</t>
  </si>
  <si>
    <t>MORRIS - ELLIS J C1TPA-2016-0</t>
  </si>
  <si>
    <t>211963</t>
  </si>
  <si>
    <t>BADER G C1TPA-2016-0</t>
  </si>
  <si>
    <t>207444</t>
  </si>
  <si>
    <t>GOYAL - BADER G C1TPA-2016-0</t>
  </si>
  <si>
    <t>208325</t>
  </si>
  <si>
    <t>HOFFMAN - BADER G C1TPA-2016-0</t>
  </si>
  <si>
    <t>211256</t>
  </si>
  <si>
    <t>KAPLAN - BADER G C1TPA-2016-0</t>
  </si>
  <si>
    <t>MILLER - BADER G C1TPA-2016-0</t>
  </si>
  <si>
    <t>208748</t>
  </si>
  <si>
    <t>MORAN - BADER G C1TPA-2016-0</t>
  </si>
  <si>
    <t>MORRIS - BADER G C1TPA-2016-0</t>
  </si>
  <si>
    <t>203820</t>
  </si>
  <si>
    <t>MORSHEAD - BADER G C1TPA-2016-0</t>
  </si>
  <si>
    <t>208809</t>
  </si>
  <si>
    <t>PUGH - BADER G C1TPA-2016-0</t>
  </si>
  <si>
    <t>212630</t>
  </si>
  <si>
    <t>STEIN - BADER G C1TPA-2016-0</t>
  </si>
  <si>
    <t>VAN DER KOOY - BADER G C1TPA-2016-0</t>
  </si>
  <si>
    <t>205839</t>
  </si>
  <si>
    <t>WHEELER - BADER G C1TPA-2016-0</t>
  </si>
  <si>
    <t>WILSON - BADER G C1TPA-2016-0</t>
  </si>
  <si>
    <t>BADER - DICK J C1TPA-2016-02</t>
  </si>
  <si>
    <t>211377</t>
  </si>
  <si>
    <t>DICK J C1TPA-2016-02</t>
  </si>
  <si>
    <t>207237</t>
  </si>
  <si>
    <t>ISCOVE - DICK J C1TPA-2016-02</t>
  </si>
  <si>
    <t>208475</t>
  </si>
  <si>
    <t>JURISICA - DICK J C1TPA-2016-02</t>
  </si>
  <si>
    <t>212065</t>
  </si>
  <si>
    <t>KELLEY - DICK J C1TPA-2016-02</t>
  </si>
  <si>
    <t>208808</t>
  </si>
  <si>
    <t>LUPIEN - DICK J C1TPA-2016-02</t>
  </si>
  <si>
    <t>MORRIS - DICK J C1TPA-2016-02</t>
  </si>
  <si>
    <t>212714</t>
  </si>
  <si>
    <t>FISH J C1TPA-2016-04</t>
  </si>
  <si>
    <t>HOFFMAN - FISH J C1TPA-2016-04</t>
  </si>
  <si>
    <t>212561</t>
  </si>
  <si>
    <t>MITCHELL - FISH J C1TPA-2016-04</t>
  </si>
  <si>
    <t>SELZNER - FISH J C1TPA-2016-04</t>
  </si>
  <si>
    <t>WILSON - FISH J C1TPA-2016-04</t>
  </si>
  <si>
    <t>211063</t>
  </si>
  <si>
    <t>BEAR - KELLER G C1TPA-2016-</t>
  </si>
  <si>
    <t>206130</t>
  </si>
  <si>
    <t>GUENTHER - KELLER G C1TPA-2016-</t>
  </si>
  <si>
    <t>KELLER G C1TPA-2016-</t>
  </si>
  <si>
    <t>212893</t>
  </si>
  <si>
    <t>MCGILVRAY - KELLER G C1TPA-2016-</t>
  </si>
  <si>
    <t>201921</t>
  </si>
  <si>
    <t>SHOICHET - KELLER G C1TPA-2016-</t>
  </si>
  <si>
    <t>DICK - KELLEY S C1TPA-2016-</t>
  </si>
  <si>
    <t>KELLEY S C1TPA-2016-</t>
  </si>
  <si>
    <t>208379</t>
  </si>
  <si>
    <t>PARDEE - KELLEY S C1TPA-2016-</t>
  </si>
  <si>
    <t>208815</t>
  </si>
  <si>
    <t>CYPEL - KESHAVJE S C1TPA-201</t>
  </si>
  <si>
    <t>203628</t>
  </si>
  <si>
    <t>KESHAVJE S C1TPA-201</t>
  </si>
  <si>
    <t>203442</t>
  </si>
  <si>
    <t>LIU - KESHAVJE S C1TPA-201</t>
  </si>
  <si>
    <t>208617</t>
  </si>
  <si>
    <t>KIM - MCMILLEN D C1TPA-201</t>
  </si>
  <si>
    <t>205993</t>
  </si>
  <si>
    <t>MAHADEVA - MCMILLEN D C1TPA-201</t>
  </si>
  <si>
    <t>211320</t>
  </si>
  <si>
    <t>MCMILLEN D C1TPA-201</t>
  </si>
  <si>
    <t>PARDEE - MCMILLEN D C1TPA-201</t>
  </si>
  <si>
    <t>211534</t>
  </si>
  <si>
    <t>PARKSINSON - MCMILLEN D C1TPA-201</t>
  </si>
  <si>
    <t>211894</t>
  </si>
  <si>
    <t>PHILPOTT - MCMILLEN D C1TPA-201</t>
  </si>
  <si>
    <t>200821</t>
  </si>
  <si>
    <t>ANDREWS - MOFFAT J C1TPA-2016-</t>
  </si>
  <si>
    <t>206147</t>
  </si>
  <si>
    <t>ANGERS - MOFFAT J C1TPA-2016-</t>
  </si>
  <si>
    <t>210781</t>
  </si>
  <si>
    <t>BOONE - MOFFAT J C1TPA-2016-</t>
  </si>
  <si>
    <t>KELLER - MOFFAT J C1TPA-2016-</t>
  </si>
  <si>
    <t>206205</t>
  </si>
  <si>
    <t>MOFFAT J C1TPA-2016-</t>
  </si>
  <si>
    <t>MORSHEAD C C1TPA-201</t>
  </si>
  <si>
    <t>NAGY - MORSHEAD C C1TPA-201</t>
  </si>
  <si>
    <t>MSH</t>
  </si>
  <si>
    <t>SCHOICHET - MORSHEAD C C1TPA-201</t>
  </si>
  <si>
    <t>NAGY A C1TPA-2016-13</t>
  </si>
  <si>
    <t>208618</t>
  </si>
  <si>
    <t>POST - NAGY A C1TPA-2016-13</t>
  </si>
  <si>
    <t>203561</t>
  </si>
  <si>
    <t>WADDELL - NAGY A C1TPA-2016-13</t>
  </si>
  <si>
    <t>NOSTRO C C1TPA-2016-</t>
  </si>
  <si>
    <t>VAN DER KOOY - NOSTRO C C1TPA-2016-</t>
  </si>
  <si>
    <t>208750</t>
  </si>
  <si>
    <t>VASCONELOS - NOSTRO C C1TPA-2016-</t>
  </si>
  <si>
    <t>GILBERT - SEFTON M C1TPA-2016-</t>
  </si>
  <si>
    <t>208807</t>
  </si>
  <si>
    <t>LICHT - SEFTON M C1TPA-2016-</t>
  </si>
  <si>
    <t>200311</t>
  </si>
  <si>
    <t>MARSDEN - SEFTON M C1TPA-2016-</t>
  </si>
  <si>
    <t>206595</t>
  </si>
  <si>
    <t>MCGUIGAN - SEFTON M C1TPA-2016-</t>
  </si>
  <si>
    <t>208607</t>
  </si>
  <si>
    <t>ROBBINS - SEFTON M C1TPA-2016-</t>
  </si>
  <si>
    <t>202616</t>
  </si>
  <si>
    <t>SEFTON M C1TPA-2016-</t>
  </si>
  <si>
    <t>BADER - SHOICHET M C1TPA-201</t>
  </si>
  <si>
    <t>208615</t>
  </si>
  <si>
    <t>DEVENYI - SHOICHET M C1TPA-201</t>
  </si>
  <si>
    <t>KELLEY - SHOICHET M C1TPA-201</t>
  </si>
  <si>
    <t>203832</t>
  </si>
  <si>
    <t>SARGENT - SHOICHET M C1TPA-201</t>
  </si>
  <si>
    <t>SHOICHET M C1TPA-201</t>
  </si>
  <si>
    <t>VAN DER KOOY - SHOICHET M C1TPA-201</t>
  </si>
  <si>
    <t>WADDELL - SHOICHET M C1TPA-201</t>
  </si>
  <si>
    <t>207150</t>
  </si>
  <si>
    <t>FERNANDEZ - TEPASS U C1TPA-2016-</t>
  </si>
  <si>
    <t>212317</t>
  </si>
  <si>
    <t>GINGRAS - TEPASS U C1TPA-2016-</t>
  </si>
  <si>
    <t>212041</t>
  </si>
  <si>
    <t>MCNEILL - TEPASS U C1TPA-2016-</t>
  </si>
  <si>
    <t>208612</t>
  </si>
  <si>
    <t>REIMAND - TEPASS U C1TPA-2016-</t>
  </si>
  <si>
    <t>203615</t>
  </si>
  <si>
    <t>TEPASS U C1TPA-2016-</t>
  </si>
  <si>
    <t>203143</t>
  </si>
  <si>
    <t>YIP - TEPASS U C1TPA-2016-</t>
  </si>
  <si>
    <t>206121</t>
  </si>
  <si>
    <t>AMON - WADDELL T C1TPA-2016</t>
  </si>
  <si>
    <t>206470</t>
  </si>
  <si>
    <t>BAZYLAK - WADDELL T C1TPA-2016</t>
  </si>
  <si>
    <t>207636</t>
  </si>
  <si>
    <t>CHENG - WADDELL T C1TPA-2016</t>
  </si>
  <si>
    <t>WADDELL T C1TPA-2016</t>
  </si>
  <si>
    <t>211058</t>
  </si>
  <si>
    <t>ATTISANO - WRANA J C1TPA-2016-1</t>
  </si>
  <si>
    <t>211191</t>
  </si>
  <si>
    <t>DUROCHER - WRANA J C1TPA-2016-1</t>
  </si>
  <si>
    <t>207627</t>
  </si>
  <si>
    <t>GOLDENBERG - WRANA J C1TPA-2016-1</t>
  </si>
  <si>
    <t>212183</t>
  </si>
  <si>
    <t>HOPYAN - WRANA J C1TPA-2016-1</t>
  </si>
  <si>
    <t>PARKINSON - WRANA J C1TPA-2016-1</t>
  </si>
  <si>
    <t>212343</t>
  </si>
  <si>
    <t>PELLETIER - WRANA J C1TPA-2016-1</t>
  </si>
  <si>
    <t>207172</t>
  </si>
  <si>
    <t>SCARDOVI - WRANA J C1TPA-2016-1</t>
  </si>
  <si>
    <t>SCHRAMEK - WRANA J C1TPA-2016-1</t>
  </si>
  <si>
    <t>WRANA J C1TPA-2016-1</t>
  </si>
  <si>
    <t>YIP - WRANA J C1TPA-2016-1</t>
  </si>
  <si>
    <t>208811</t>
  </si>
  <si>
    <t>BROOKS - ZUNIGA-P J C1TPA-201</t>
  </si>
  <si>
    <t>208630</t>
  </si>
  <si>
    <t>HIRANO - ZUNIGA-P J C1TPA-201</t>
  </si>
  <si>
    <t>208631</t>
  </si>
  <si>
    <t>MCGAHA - ZUNIGA-P J C1TPA-201</t>
  </si>
  <si>
    <t>NAGY - ZUNIGA-P J C1TPA-201</t>
  </si>
  <si>
    <t>NOSTRO - ZUNIGA-P J C1TPA-201</t>
  </si>
  <si>
    <t>VAN DER KOOY - ZUNIGA-P J C1TPA-201</t>
  </si>
  <si>
    <t>200037</t>
  </si>
  <si>
    <t>ZUNIGA-P J C1TPA-201</t>
  </si>
  <si>
    <t>Sunnybrook</t>
  </si>
  <si>
    <t>CHENG - LAFLAMME M C1TPA-201</t>
  </si>
  <si>
    <t>KELLER - LAFLAMME M C1TPA-201</t>
  </si>
  <si>
    <t>208728</t>
  </si>
  <si>
    <t>LAFLAMME M C1TPA-201</t>
  </si>
  <si>
    <t>212931</t>
  </si>
  <si>
    <t>208342</t>
  </si>
  <si>
    <t xml:space="preserve">CALARCO   </t>
  </si>
  <si>
    <t>HURD CFREF-2018</t>
  </si>
  <si>
    <t>YUN LI</t>
  </si>
  <si>
    <t>200274</t>
  </si>
  <si>
    <t>208636</t>
  </si>
  <si>
    <t>WHEELER A MBDNI-2017</t>
  </si>
  <si>
    <t>208217</t>
  </si>
  <si>
    <t>TAIPALE M MBDNI-2017</t>
  </si>
  <si>
    <t>207584</t>
  </si>
  <si>
    <t>PARKINSO J MBDNI-201</t>
  </si>
  <si>
    <t>212639</t>
  </si>
  <si>
    <t>SIMMONS C MBDNI-2017</t>
  </si>
  <si>
    <t>208934</t>
  </si>
  <si>
    <t>SCHUURMA C MDBNI-201</t>
  </si>
  <si>
    <t>ANDERSON M MBDNICL-2017-01</t>
  </si>
  <si>
    <t>MITCHELL J MBDNICL-2017-04</t>
  </si>
  <si>
    <t>212404</t>
  </si>
  <si>
    <t>ELLIS J MBDNICL-2017-03</t>
  </si>
  <si>
    <t>ANGERS S MBDNICL-2017-02</t>
  </si>
  <si>
    <t>200181</t>
  </si>
  <si>
    <t>WHEELER M OMNI-2017-</t>
  </si>
  <si>
    <t>207233</t>
  </si>
  <si>
    <t>GILBERT P OMNI-2017-</t>
  </si>
  <si>
    <t>PARKINSO J OMNI-2017</t>
  </si>
  <si>
    <t>212696</t>
  </si>
  <si>
    <t>PEARSON B OMNI-2017-</t>
  </si>
  <si>
    <t>205404</t>
  </si>
  <si>
    <t>208491</t>
  </si>
  <si>
    <t>SANTYR G OMNI-2017-0</t>
  </si>
  <si>
    <t>208908</t>
  </si>
  <si>
    <t>JUVET S OMNI-2017-02</t>
  </si>
  <si>
    <t>208923</t>
  </si>
  <si>
    <t>KAMATH B OMNI-2017-0</t>
  </si>
  <si>
    <t>KELLER, GORDON - PDF - 2016</t>
  </si>
  <si>
    <t>NAGY, ANDRAS - PDF 2016</t>
  </si>
  <si>
    <t>Concatenate</t>
  </si>
  <si>
    <t>Duplicate</t>
  </si>
  <si>
    <t>Program-As per MbD Summary</t>
  </si>
  <si>
    <t>PI First Name</t>
  </si>
  <si>
    <t>PI Last Name</t>
  </si>
  <si>
    <t>500737,107525</t>
  </si>
  <si>
    <t>502319,208810</t>
  </si>
  <si>
    <t>502529,210089</t>
  </si>
  <si>
    <t>502531,208620</t>
  </si>
  <si>
    <t>502553,203770</t>
  </si>
  <si>
    <t>504322,205839</t>
  </si>
  <si>
    <t>504334,202019</t>
  </si>
  <si>
    <t>504335,203820</t>
  </si>
  <si>
    <t>504335,208897</t>
  </si>
  <si>
    <t>504337,205592</t>
  </si>
  <si>
    <t>504337,211478</t>
  </si>
  <si>
    <t>504344,211218</t>
  </si>
  <si>
    <t>504344,211456</t>
  </si>
  <si>
    <t>504878,209194</t>
  </si>
  <si>
    <t>505062,206247</t>
  </si>
  <si>
    <t>506472,200011</t>
  </si>
  <si>
    <t>506472,200612</t>
  </si>
  <si>
    <t>506472,211172</t>
  </si>
  <si>
    <t>506473,209346</t>
  </si>
  <si>
    <t>506475,208636</t>
  </si>
  <si>
    <t>506485,205554</t>
  </si>
  <si>
    <t>506485,209461</t>
  </si>
  <si>
    <t>506682,213061</t>
  </si>
  <si>
    <t>506754,203770</t>
  </si>
  <si>
    <t>506754,207378</t>
  </si>
  <si>
    <t>507639,205839</t>
  </si>
  <si>
    <t>Y</t>
  </si>
  <si>
    <t>507782,212616</t>
  </si>
  <si>
    <t>Medicine by Design Awards (2018-19) A project funded by the Canada First Research Excellence Fund</t>
  </si>
  <si>
    <t>Fiscal Year 2019-2020</t>
  </si>
  <si>
    <t>Count of PI Name</t>
  </si>
  <si>
    <t>Program Name - April 2020</t>
  </si>
  <si>
    <t>MbD Operations &amp; Outreach- Scientific and Operations Budget</t>
  </si>
  <si>
    <t>Yun-Li Lab Support</t>
  </si>
  <si>
    <t>Net Total Funded PI's</t>
  </si>
  <si>
    <t>Fiscal Year 2020-2021</t>
  </si>
  <si>
    <t>Sponsor Reference</t>
  </si>
  <si>
    <t>IBBME HR &lt;hr.ibbme@utoronto.ca&gt;</t>
  </si>
  <si>
    <t>C1PTA-2016-</t>
  </si>
  <si>
    <t xml:space="preserve"> C1TPA-2016-13</t>
  </si>
  <si>
    <r>
      <t> </t>
    </r>
    <r>
      <rPr>
        <sz val="11"/>
        <rFont val="Calibri"/>
        <family val="2"/>
        <scheme val="minor"/>
      </rPr>
      <t>209936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</si>
</sst>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&quot;$&quot;#,##0"/>
    <numFmt numFmtId="168" formatCode="[$-409]dd\-mmm\-yy;@"/>
    <numFmt numFmtId="169" formatCode="[$-409]d\-mmm\-yyyy;@"/>
    <numFmt numFmtId="170" formatCode="[$-409]d\-mmm\-yy;@"/>
    <numFmt numFmtId="171" formatCode="0_);\(0\)"/>
    <numFmt numFmtId="172" formatCode="_([$$-409]* #,##0.00_);_([$$-409]* \(#,##0.00\);_([$$-409]* &quot;-&quot;??_);_(@_)"/>
  </numFmts>
  <fonts count="63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44546A"/>
      <name val="Calibri"/>
      <family val="2"/>
    </font>
    <font>
      <sz val="11"/>
      <color theme="1"/>
      <name val="Calibri"/>
      <family val="2"/>
    </font>
    <font>
      <sz val="11"/>
      <color theme="1"/>
      <name val="Calibri Light"/>
      <family val="2"/>
    </font>
    <font>
      <b/>
      <sz val="15"/>
      <color rgb="FF44546A"/>
      <name val="Calibri Light"/>
      <family val="2"/>
    </font>
    <font>
      <b/>
      <sz val="11"/>
      <color theme="1"/>
      <name val="Calibri Light"/>
      <family val="2"/>
    </font>
    <font>
      <b/>
      <sz val="12"/>
      <color theme="0"/>
      <name val="Arial Narrow"/>
      <family val="2"/>
    </font>
    <font>
      <sz val="12"/>
      <color rgb="FF002A5C"/>
      <name val="Arial Narrow"/>
      <family val="2"/>
    </font>
    <font>
      <sz val="11"/>
      <name val="Calibri Light"/>
      <family val="2"/>
    </font>
    <font>
      <i/>
      <sz val="11"/>
      <name val="Calibri Light"/>
      <family val="2"/>
    </font>
    <font>
      <sz val="11"/>
      <color theme="1"/>
      <name val="Calibri"/>
      <family val="2"/>
      <scheme val="minor"/>
    </font>
    <font>
      <b/>
      <sz val="12"/>
      <name val="Franklin Gothic Book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Franklin Gothic Book"/>
      <family val="2"/>
    </font>
    <font>
      <sz val="12"/>
      <name val="Arial Narrow"/>
      <family val="2"/>
    </font>
    <font>
      <sz val="11"/>
      <name val="Franklin Gothic Book"/>
      <family val="2"/>
    </font>
    <font>
      <b/>
      <sz val="11"/>
      <color rgb="FF000000"/>
      <name val="Arial Narrow"/>
      <family val="2"/>
    </font>
    <font>
      <sz val="11"/>
      <color rgb="FFD0CECE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Arial Narrow"/>
      <family val="2"/>
    </font>
    <font>
      <sz val="11"/>
      <color rgb="FFE32D58"/>
      <name val="Franklin Gothic Boo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Franklin Gothic Book"/>
      <family val="2"/>
    </font>
    <font>
      <u/>
      <sz val="11"/>
      <color theme="1"/>
      <name val="Franklin Gothic Book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Franklin Gothic Book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Franklin Gothic Book"/>
      <family val="2"/>
    </font>
    <font>
      <u/>
      <sz val="11"/>
      <name val="Calibri Light"/>
      <family val="2"/>
      <scheme val="major"/>
    </font>
    <font>
      <b/>
      <sz val="15"/>
      <color rgb="FF44546A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Franklin Gothic Book"/>
      <family val="2"/>
    </font>
    <font>
      <b/>
      <u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 Light"/>
      <family val="1"/>
      <scheme val="major"/>
    </font>
    <font>
      <b/>
      <sz val="28"/>
      <color theme="0"/>
      <name val="Calibri Light"/>
      <family val="2"/>
      <scheme val="major"/>
    </font>
    <font>
      <u/>
      <sz val="12"/>
      <color theme="10"/>
      <name val="Calibri"/>
      <family val="2"/>
      <scheme val="minor"/>
    </font>
    <font>
      <b/>
      <sz val="11"/>
      <name val="Franklin Gothic Book"/>
      <family val="2"/>
    </font>
    <font>
      <sz val="11"/>
      <color theme="0"/>
      <name val="Franklin Gothic Book"/>
      <family val="2"/>
    </font>
    <font>
      <sz val="11"/>
      <color theme="4" tint="-0.249977111117893"/>
      <name val="Franklin Gothic Book"/>
      <family val="2"/>
    </font>
    <font>
      <sz val="11"/>
      <color theme="4" tint="0.39997558519241921"/>
      <name val="Franklin Gothic Book"/>
      <family val="2"/>
    </font>
    <font>
      <sz val="11"/>
      <color theme="4"/>
      <name val="Franklin Gothic Book"/>
      <family val="2"/>
    </font>
    <font>
      <u/>
      <sz val="11"/>
      <color theme="1"/>
      <name val="Calibri"/>
      <family val="2"/>
      <scheme val="minor"/>
    </font>
    <font>
      <b/>
      <sz val="11"/>
      <color theme="0"/>
      <name val="Calibri Light"/>
      <family val="2"/>
    </font>
    <font>
      <sz val="11"/>
      <color rgb="FF000000"/>
      <name val="Calibri Light"/>
    </font>
    <font>
      <i/>
      <sz val="11"/>
      <color rgb="FF000000"/>
      <name val="Calibri Light"/>
    </font>
    <font>
      <sz val="11"/>
      <color rgb="FF000000"/>
      <name val="Franklin Gothic Book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7BA4D9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5"/>
      </patternFill>
    </fill>
    <fill>
      <patternFill patternType="solid">
        <fgColor rgb="FF96003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theme="9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9BC2E6"/>
      </bottom>
      <diagonal/>
    </border>
    <border>
      <left/>
      <right/>
      <top/>
      <bottom style="thick">
        <color rgb="FF5B9BD5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/>
      <top style="double">
        <color rgb="FF5B9BD5"/>
      </top>
      <bottom/>
      <diagonal/>
    </border>
    <border>
      <left/>
      <right/>
      <top style="double">
        <color rgb="FF5B9BD5"/>
      </top>
      <bottom/>
      <diagonal/>
    </border>
    <border>
      <left/>
      <right/>
      <top/>
      <bottom style="thin">
        <color rgb="FF9BC2E6"/>
      </bottom>
      <diagonal/>
    </border>
    <border>
      <left/>
      <right/>
      <top style="thin">
        <color rgb="FF9BC2E6"/>
      </top>
      <bottom/>
      <diagonal/>
    </border>
    <border>
      <left/>
      <right/>
      <top/>
      <bottom style="double">
        <color rgb="FF5B9BD5"/>
      </bottom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/>
      </left>
      <right/>
      <top style="thin">
        <color rgb="FF5B9BD5"/>
      </top>
      <bottom style="double">
        <color theme="4"/>
      </bottom>
      <diagonal/>
    </border>
    <border>
      <left/>
      <right/>
      <top style="thin">
        <color rgb="FF5B9BD5"/>
      </top>
      <bottom style="double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ck">
        <color rgb="FF5B9BD5"/>
      </top>
      <bottom style="medium">
        <color theme="0" tint="-0.14999847407452621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/>
      <top style="thin">
        <color theme="1"/>
      </top>
      <bottom/>
      <diagonal/>
    </border>
  </borders>
  <cellStyleXfs count="20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44" fontId="12" fillId="0" borderId="0" applyFont="0" applyFill="0" applyBorder="0" applyAlignment="0" applyProtection="0"/>
    <xf numFmtId="0" fontId="12" fillId="0" borderId="0"/>
    <xf numFmtId="0" fontId="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9" fillId="7" borderId="21">
      <alignment horizontal="left"/>
    </xf>
    <xf numFmtId="0" fontId="35" fillId="0" borderId="0" applyNumberFormat="0" applyFill="0" applyBorder="0" applyAlignment="0" applyProtection="0"/>
    <xf numFmtId="0" fontId="12" fillId="0" borderId="0"/>
    <xf numFmtId="0" fontId="48" fillId="0" borderId="33" applyNumberFormat="0" applyFill="0" applyAlignment="0" applyProtection="0"/>
    <xf numFmtId="0" fontId="37" fillId="0" borderId="0"/>
    <xf numFmtId="0" fontId="49" fillId="0" borderId="0">
      <alignment vertical="center" wrapText="1"/>
    </xf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164" fontId="12" fillId="0" borderId="0" applyFont="0" applyFill="0" applyBorder="0" applyAlignment="0" applyProtection="0"/>
    <xf numFmtId="0" fontId="37" fillId="0" borderId="0"/>
    <xf numFmtId="0" fontId="12" fillId="0" borderId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1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3" fillId="2" borderId="3" xfId="2" applyFont="1" applyFill="1" applyBorder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166" fontId="5" fillId="2" borderId="0" xfId="0" applyNumberFormat="1" applyFont="1" applyFill="1" applyAlignment="1">
      <alignment horizontal="left"/>
    </xf>
    <xf numFmtId="166" fontId="5" fillId="0" borderId="0" xfId="0" applyNumberFormat="1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8" fillId="4" borderId="11" xfId="0" applyFont="1" applyFill="1" applyBorder="1"/>
    <xf numFmtId="6" fontId="8" fillId="4" borderId="12" xfId="0" applyNumberFormat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/>
    </xf>
    <xf numFmtId="0" fontId="6" fillId="2" borderId="4" xfId="1" applyFont="1" applyFill="1" applyBorder="1" applyAlignment="1"/>
    <xf numFmtId="14" fontId="5" fillId="0" borderId="0" xfId="0" applyNumberFormat="1" applyFont="1" applyAlignment="1">
      <alignment horizontal="left" indent="2"/>
    </xf>
    <xf numFmtId="0" fontId="6" fillId="2" borderId="4" xfId="1" applyFont="1" applyFill="1" applyBorder="1" applyAlignment="1">
      <alignment horizontal="left" indent="2"/>
    </xf>
    <xf numFmtId="14" fontId="5" fillId="2" borderId="0" xfId="0" applyNumberFormat="1" applyFont="1" applyFill="1" applyAlignment="1">
      <alignment horizontal="left" indent="2"/>
    </xf>
    <xf numFmtId="0" fontId="8" fillId="4" borderId="7" xfId="0" applyFont="1" applyFill="1" applyBorder="1" applyAlignment="1">
      <alignment horizontal="left" vertical="center" indent="2"/>
    </xf>
    <xf numFmtId="0" fontId="8" fillId="4" borderId="13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indent="2"/>
    </xf>
    <xf numFmtId="0" fontId="0" fillId="0" borderId="0" xfId="0" applyAlignment="1">
      <alignment horizontal="left" indent="2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4" applyFont="1"/>
    <xf numFmtId="44" fontId="15" fillId="0" borderId="0" xfId="0" applyNumberFormat="1" applyFont="1" applyAlignment="1">
      <alignment horizontal="left"/>
    </xf>
    <xf numFmtId="170" fontId="15" fillId="0" borderId="0" xfId="0" applyNumberFormat="1" applyFont="1"/>
    <xf numFmtId="44" fontId="15" fillId="0" borderId="0" xfId="0" applyNumberFormat="1" applyFont="1"/>
    <xf numFmtId="0" fontId="15" fillId="0" borderId="0" xfId="4" applyFont="1" applyAlignment="1">
      <alignment horizontal="left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/>
    <xf numFmtId="168" fontId="15" fillId="0" borderId="0" xfId="0" applyNumberFormat="1" applyFont="1"/>
    <xf numFmtId="169" fontId="15" fillId="0" borderId="0" xfId="0" applyNumberFormat="1" applyFont="1"/>
    <xf numFmtId="49" fontId="15" fillId="0" borderId="0" xfId="0" applyNumberFormat="1" applyFont="1" applyAlignment="1">
      <alignment horizontal="left"/>
    </xf>
    <xf numFmtId="0" fontId="19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15" fontId="15" fillId="0" borderId="0" xfId="0" applyNumberFormat="1" applyFont="1"/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/>
    <xf numFmtId="170" fontId="20" fillId="0" borderId="0" xfId="0" applyNumberFormat="1" applyFont="1"/>
    <xf numFmtId="44" fontId="20" fillId="0" borderId="0" xfId="0" applyNumberFormat="1" applyFont="1"/>
    <xf numFmtId="171" fontId="15" fillId="0" borderId="0" xfId="0" applyNumberFormat="1" applyFont="1" applyAlignment="1">
      <alignment horizontal="left"/>
    </xf>
    <xf numFmtId="44" fontId="14" fillId="0" borderId="0" xfId="0" applyNumberFormat="1" applyFont="1"/>
    <xf numFmtId="0" fontId="21" fillId="0" borderId="17" xfId="0" applyFont="1" applyBorder="1"/>
    <xf numFmtId="0" fontId="4" fillId="0" borderId="0" xfId="0" applyFont="1" applyAlignment="1">
      <alignment horizontal="center"/>
    </xf>
    <xf numFmtId="44" fontId="4" fillId="0" borderId="0" xfId="0" applyNumberFormat="1" applyFont="1"/>
    <xf numFmtId="44" fontId="22" fillId="0" borderId="0" xfId="3" applyFont="1" applyFill="1" applyBorder="1"/>
    <xf numFmtId="44" fontId="21" fillId="0" borderId="18" xfId="0" applyNumberFormat="1" applyFont="1" applyBorder="1"/>
    <xf numFmtId="0" fontId="15" fillId="3" borderId="0" xfId="0" applyFont="1" applyFill="1" applyAlignment="1">
      <alignment horizontal="left"/>
    </xf>
    <xf numFmtId="0" fontId="15" fillId="3" borderId="0" xfId="0" applyFont="1" applyFill="1"/>
    <xf numFmtId="169" fontId="15" fillId="3" borderId="0" xfId="0" applyNumberFormat="1" applyFont="1" applyFill="1"/>
    <xf numFmtId="0" fontId="23" fillId="3" borderId="0" xfId="0" applyFont="1" applyFill="1"/>
    <xf numFmtId="0" fontId="23" fillId="3" borderId="0" xfId="0" applyFont="1" applyFill="1" applyAlignment="1">
      <alignment horizontal="center"/>
    </xf>
    <xf numFmtId="0" fontId="23" fillId="5" borderId="17" xfId="0" applyFont="1" applyFill="1" applyBorder="1"/>
    <xf numFmtId="44" fontId="16" fillId="0" borderId="0" xfId="3" applyFont="1" applyFill="1" applyBorder="1" applyAlignment="1">
      <alignment horizontal="left"/>
    </xf>
    <xf numFmtId="1" fontId="16" fillId="0" borderId="0" xfId="3" applyNumberFormat="1" applyFont="1" applyFill="1" applyBorder="1" applyAlignment="1">
      <alignment horizontal="center"/>
    </xf>
    <xf numFmtId="44" fontId="16" fillId="0" borderId="0" xfId="3" applyFont="1" applyFill="1" applyBorder="1"/>
    <xf numFmtId="44" fontId="13" fillId="0" borderId="0" xfId="3" applyFont="1" applyFill="1" applyBorder="1"/>
    <xf numFmtId="0" fontId="23" fillId="3" borderId="0" xfId="0" applyFont="1" applyFill="1" applyAlignment="1">
      <alignment horizontal="left"/>
    </xf>
    <xf numFmtId="1" fontId="23" fillId="3" borderId="0" xfId="0" applyNumberFormat="1" applyFont="1" applyFill="1" applyAlignment="1">
      <alignment horizontal="center"/>
    </xf>
    <xf numFmtId="44" fontId="23" fillId="3" borderId="0" xfId="0" applyNumberFormat="1" applyFont="1" applyFill="1"/>
    <xf numFmtId="44" fontId="23" fillId="5" borderId="18" xfId="0" applyNumberFormat="1" applyFont="1" applyFill="1" applyBorder="1"/>
    <xf numFmtId="44" fontId="17" fillId="0" borderId="0" xfId="3" applyFont="1" applyFill="1" applyBorder="1" applyAlignment="1">
      <alignment horizontal="left"/>
    </xf>
    <xf numFmtId="44" fontId="17" fillId="0" borderId="0" xfId="3" applyFont="1" applyFill="1" applyBorder="1"/>
    <xf numFmtId="44" fontId="18" fillId="0" borderId="0" xfId="3" applyFont="1" applyFill="1" applyBorder="1" applyAlignment="1">
      <alignment horizontal="left" vertical="top" wrapText="1"/>
    </xf>
    <xf numFmtId="0" fontId="17" fillId="0" borderId="0" xfId="0" applyFont="1"/>
    <xf numFmtId="169" fontId="17" fillId="0" borderId="0" xfId="0" applyNumberFormat="1" applyFont="1"/>
    <xf numFmtId="6" fontId="9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2"/>
    </xf>
    <xf numFmtId="167" fontId="9" fillId="0" borderId="9" xfId="0" applyNumberFormat="1" applyFont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44" fontId="18" fillId="0" borderId="0" xfId="3" applyFont="1" applyFill="1"/>
    <xf numFmtId="49" fontId="18" fillId="0" borderId="0" xfId="0" applyNumberFormat="1" applyFont="1" applyAlignment="1">
      <alignment horizontal="left"/>
    </xf>
    <xf numFmtId="0" fontId="18" fillId="0" borderId="0" xfId="0" applyFont="1"/>
    <xf numFmtId="0" fontId="18" fillId="0" borderId="0" xfId="4" applyFont="1"/>
    <xf numFmtId="49" fontId="18" fillId="0" borderId="0" xfId="0" applyNumberFormat="1" applyFont="1"/>
    <xf numFmtId="0" fontId="18" fillId="0" borderId="0" xfId="4" applyFont="1" applyAlignment="1">
      <alignment horizontal="left"/>
    </xf>
    <xf numFmtId="171" fontId="18" fillId="0" borderId="0" xfId="0" applyNumberFormat="1" applyFont="1" applyAlignment="1">
      <alignment horizontal="left"/>
    </xf>
    <xf numFmtId="0" fontId="28" fillId="0" borderId="0" xfId="0" applyFont="1"/>
    <xf numFmtId="0" fontId="18" fillId="0" borderId="0" xfId="0" applyFont="1" applyAlignment="1">
      <alignment horizontal="left" vertical="center"/>
    </xf>
    <xf numFmtId="44" fontId="18" fillId="0" borderId="0" xfId="3" applyFont="1" applyFill="1" applyBorder="1"/>
    <xf numFmtId="0" fontId="27" fillId="0" borderId="22" xfId="0" applyFont="1" applyBorder="1" applyAlignment="1">
      <alignment horizontal="left" vertical="center"/>
    </xf>
    <xf numFmtId="44" fontId="28" fillId="0" borderId="22" xfId="3" applyFont="1" applyFill="1" applyBorder="1" applyAlignment="1">
      <alignment horizontal="center" vertical="center"/>
    </xf>
    <xf numFmtId="0" fontId="18" fillId="0" borderId="0" xfId="7" applyFont="1" applyFill="1" applyBorder="1">
      <alignment horizontal="left"/>
    </xf>
    <xf numFmtId="44" fontId="18" fillId="0" borderId="0" xfId="3" applyFont="1" applyFill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21" xfId="0" applyFont="1" applyBorder="1"/>
    <xf numFmtId="0" fontId="33" fillId="0" borderId="21" xfId="0" applyFont="1" applyBorder="1"/>
    <xf numFmtId="0" fontId="27" fillId="0" borderId="21" xfId="4" applyFont="1" applyBorder="1"/>
    <xf numFmtId="0" fontId="27" fillId="0" borderId="21" xfId="4" applyFont="1" applyBorder="1" applyAlignment="1">
      <alignment horizontal="left"/>
    </xf>
    <xf numFmtId="0" fontId="27" fillId="0" borderId="21" xfId="4" applyFont="1" applyBorder="1" applyAlignment="1">
      <alignment horizontal="center"/>
    </xf>
    <xf numFmtId="0" fontId="27" fillId="0" borderId="21" xfId="4" applyFont="1" applyBorder="1" applyAlignment="1">
      <alignment horizontal="left" wrapText="1"/>
    </xf>
    <xf numFmtId="0" fontId="33" fillId="0" borderId="21" xfId="4" applyFont="1" applyBorder="1" applyAlignment="1">
      <alignment horizontal="left"/>
    </xf>
    <xf numFmtId="170" fontId="27" fillId="0" borderId="21" xfId="4" applyNumberFormat="1" applyFont="1" applyBorder="1"/>
    <xf numFmtId="44" fontId="27" fillId="8" borderId="21" xfId="5" applyNumberFormat="1" applyFont="1" applyFill="1" applyBorder="1" applyAlignment="1">
      <alignment horizontal="center" vertical="top"/>
    </xf>
    <xf numFmtId="43" fontId="27" fillId="9" borderId="21" xfId="5" applyNumberFormat="1" applyFont="1" applyFill="1" applyBorder="1" applyAlignment="1">
      <alignment horizontal="left"/>
    </xf>
    <xf numFmtId="43" fontId="27" fillId="9" borderId="21" xfId="5" applyNumberFormat="1" applyFont="1" applyFill="1" applyBorder="1" applyAlignment="1">
      <alignment horizontal="left" wrapText="1"/>
    </xf>
    <xf numFmtId="43" fontId="27" fillId="9" borderId="21" xfId="5" applyNumberFormat="1" applyFont="1" applyFill="1" applyBorder="1" applyAlignment="1">
      <alignment wrapText="1"/>
    </xf>
    <xf numFmtId="44" fontId="27" fillId="9" borderId="21" xfId="4" applyNumberFormat="1" applyFont="1" applyFill="1" applyBorder="1"/>
    <xf numFmtId="43" fontId="27" fillId="0" borderId="21" xfId="4" applyNumberFormat="1" applyFont="1" applyBorder="1"/>
    <xf numFmtId="44" fontId="27" fillId="0" borderId="21" xfId="4" applyNumberFormat="1" applyFont="1" applyBorder="1"/>
    <xf numFmtId="44" fontId="27" fillId="0" borderId="21" xfId="3" applyFont="1" applyFill="1" applyBorder="1"/>
    <xf numFmtId="44" fontId="27" fillId="9" borderId="21" xfId="3" applyFont="1" applyFill="1" applyBorder="1"/>
    <xf numFmtId="44" fontId="27" fillId="10" borderId="21" xfId="4" applyNumberFormat="1" applyFont="1" applyFill="1" applyBorder="1"/>
    <xf numFmtId="43" fontId="27" fillId="9" borderId="21" xfId="5" applyNumberFormat="1" applyFont="1" applyFill="1" applyBorder="1" applyAlignment="1">
      <alignment horizontal="right"/>
    </xf>
    <xf numFmtId="43" fontId="27" fillId="9" borderId="21" xfId="5" applyNumberFormat="1" applyFont="1" applyFill="1" applyBorder="1" applyAlignment="1">
      <alignment horizontal="right" wrapText="1"/>
    </xf>
    <xf numFmtId="43" fontId="27" fillId="9" borderId="21" xfId="5" applyNumberFormat="1" applyFont="1" applyFill="1" applyBorder="1" applyAlignment="1">
      <alignment vertical="top" wrapText="1"/>
    </xf>
    <xf numFmtId="0" fontId="27" fillId="11" borderId="21" xfId="0" applyFont="1" applyFill="1" applyBorder="1"/>
    <xf numFmtId="0" fontId="28" fillId="0" borderId="21" xfId="0" applyFont="1" applyBorder="1"/>
    <xf numFmtId="43" fontId="27" fillId="0" borderId="21" xfId="5" applyNumberFormat="1" applyFont="1" applyFill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1" xfId="4" applyFont="1" applyBorder="1"/>
    <xf numFmtId="0" fontId="34" fillId="0" borderId="21" xfId="0" applyFont="1" applyBorder="1"/>
    <xf numFmtId="0" fontId="28" fillId="0" borderId="21" xfId="4" applyFont="1" applyBorder="1" applyAlignment="1">
      <alignment horizontal="left"/>
    </xf>
    <xf numFmtId="0" fontId="28" fillId="0" borderId="21" xfId="4" applyFont="1" applyBorder="1" applyAlignment="1">
      <alignment horizontal="center"/>
    </xf>
    <xf numFmtId="0" fontId="34" fillId="0" borderId="21" xfId="8" applyFont="1" applyFill="1" applyBorder="1" applyAlignment="1">
      <alignment horizontal="left" vertical="center"/>
    </xf>
    <xf numFmtId="170" fontId="28" fillId="0" borderId="21" xfId="4" applyNumberFormat="1" applyFont="1" applyBorder="1"/>
    <xf numFmtId="44" fontId="27" fillId="8" borderId="21" xfId="4" applyNumberFormat="1" applyFont="1" applyFill="1" applyBorder="1"/>
    <xf numFmtId="44" fontId="28" fillId="0" borderId="23" xfId="5" applyNumberFormat="1" applyFont="1" applyFill="1" applyBorder="1"/>
    <xf numFmtId="44" fontId="28" fillId="0" borderId="21" xfId="5" applyNumberFormat="1" applyFont="1" applyFill="1" applyBorder="1"/>
    <xf numFmtId="43" fontId="28" fillId="0" borderId="24" xfId="4" applyNumberFormat="1" applyFont="1" applyBorder="1"/>
    <xf numFmtId="43" fontId="28" fillId="0" borderId="24" xfId="0" applyNumberFormat="1" applyFont="1" applyBorder="1"/>
    <xf numFmtId="44" fontId="28" fillId="0" borderId="21" xfId="4" applyNumberFormat="1" applyFont="1" applyBorder="1" applyAlignment="1">
      <alignment horizontal="right"/>
    </xf>
    <xf numFmtId="44" fontId="27" fillId="10" borderId="24" xfId="4" applyNumberFormat="1" applyFont="1" applyFill="1" applyBorder="1"/>
    <xf numFmtId="44" fontId="27" fillId="11" borderId="21" xfId="0" applyNumberFormat="1" applyFont="1" applyFill="1" applyBorder="1"/>
    <xf numFmtId="44" fontId="28" fillId="0" borderId="21" xfId="0" applyNumberFormat="1" applyFont="1" applyBorder="1"/>
    <xf numFmtId="0" fontId="28" fillId="12" borderId="21" xfId="0" applyFont="1" applyFill="1" applyBorder="1" applyAlignment="1">
      <alignment horizontal="left"/>
    </xf>
    <xf numFmtId="0" fontId="34" fillId="0" borderId="21" xfId="8" applyFont="1" applyFill="1" applyBorder="1"/>
    <xf numFmtId="43" fontId="28" fillId="0" borderId="21" xfId="4" applyNumberFormat="1" applyFont="1" applyBorder="1"/>
    <xf numFmtId="43" fontId="28" fillId="0" borderId="21" xfId="0" applyNumberFormat="1" applyFont="1" applyBorder="1"/>
    <xf numFmtId="49" fontId="28" fillId="0" borderId="21" xfId="0" applyNumberFormat="1" applyFont="1" applyBorder="1" applyAlignment="1">
      <alignment horizontal="left"/>
    </xf>
    <xf numFmtId="44" fontId="27" fillId="8" borderId="21" xfId="5" applyNumberFormat="1" applyFont="1" applyFill="1" applyBorder="1"/>
    <xf numFmtId="44" fontId="28" fillId="0" borderId="21" xfId="3" applyFont="1" applyFill="1" applyBorder="1"/>
    <xf numFmtId="44" fontId="27" fillId="0" borderId="21" xfId="4" applyNumberFormat="1" applyFont="1" applyBorder="1" applyAlignment="1">
      <alignment horizontal="right"/>
    </xf>
    <xf numFmtId="44" fontId="28" fillId="0" borderId="21" xfId="5" applyNumberFormat="1" applyFont="1" applyFill="1" applyBorder="1" applyAlignment="1">
      <alignment horizontal="left"/>
    </xf>
    <xf numFmtId="0" fontId="28" fillId="0" borderId="21" xfId="0" applyFont="1" applyBorder="1" applyAlignment="1">
      <alignment vertical="center"/>
    </xf>
    <xf numFmtId="0" fontId="28" fillId="0" borderId="21" xfId="0" applyFont="1" applyBorder="1" applyAlignment="1">
      <alignment horizontal="left" vertical="center"/>
    </xf>
    <xf numFmtId="44" fontId="27" fillId="0" borderId="21" xfId="5" applyNumberFormat="1" applyFont="1" applyFill="1" applyBorder="1"/>
    <xf numFmtId="44" fontId="28" fillId="0" borderId="21" xfId="3" applyFont="1" applyFill="1" applyBorder="1" applyAlignment="1">
      <alignment horizontal="right"/>
    </xf>
    <xf numFmtId="0" fontId="30" fillId="0" borderId="21" xfId="7" applyFont="1" applyFill="1">
      <alignment horizontal="left"/>
    </xf>
    <xf numFmtId="0" fontId="28" fillId="0" borderId="21" xfId="0" applyFont="1" applyBorder="1" applyAlignment="1">
      <alignment horizontal="right"/>
    </xf>
    <xf numFmtId="0" fontId="27" fillId="10" borderId="21" xfId="0" applyFont="1" applyFill="1" applyBorder="1"/>
    <xf numFmtId="44" fontId="28" fillId="0" borderId="21" xfId="4" applyNumberFormat="1" applyFont="1" applyBorder="1" applyAlignment="1">
      <alignment horizontal="left"/>
    </xf>
    <xf numFmtId="0" fontId="35" fillId="0" borderId="21" xfId="8" applyFill="1" applyBorder="1"/>
    <xf numFmtId="44" fontId="28" fillId="0" borderId="21" xfId="4" applyNumberFormat="1" applyFont="1" applyBorder="1"/>
    <xf numFmtId="44" fontId="27" fillId="9" borderId="21" xfId="5" applyNumberFormat="1" applyFont="1" applyFill="1" applyBorder="1"/>
    <xf numFmtId="43" fontId="28" fillId="0" borderId="21" xfId="4" applyNumberFormat="1" applyFont="1" applyBorder="1" applyAlignment="1">
      <alignment horizontal="right"/>
    </xf>
    <xf numFmtId="44" fontId="28" fillId="0" borderId="0" xfId="0" applyNumberFormat="1" applyFont="1"/>
    <xf numFmtId="0" fontId="34" fillId="0" borderId="0" xfId="8" applyFont="1" applyFill="1" applyBorder="1" applyAlignment="1">
      <alignment horizontal="left" vertical="center"/>
    </xf>
    <xf numFmtId="0" fontId="35" fillId="0" borderId="21" xfId="8" applyBorder="1"/>
    <xf numFmtId="0" fontId="18" fillId="0" borderId="21" xfId="4" applyFont="1" applyBorder="1" applyAlignment="1">
      <alignment horizontal="left"/>
    </xf>
    <xf numFmtId="0" fontId="18" fillId="0" borderId="21" xfId="0" applyFont="1" applyBorder="1" applyAlignment="1">
      <alignment horizontal="left" vertical="center"/>
    </xf>
    <xf numFmtId="0" fontId="28" fillId="0" borderId="21" xfId="9" applyFont="1" applyBorder="1" applyAlignment="1">
      <alignment horizontal="left"/>
    </xf>
    <xf numFmtId="15" fontId="28" fillId="0" borderId="21" xfId="4" applyNumberFormat="1" applyFont="1" applyBorder="1" applyAlignment="1">
      <alignment horizontal="right"/>
    </xf>
    <xf numFmtId="0" fontId="30" fillId="0" borderId="21" xfId="6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5" fillId="0" borderId="21" xfId="8" applyFill="1" applyBorder="1" applyAlignment="1">
      <alignment horizontal="left" vertical="center"/>
    </xf>
    <xf numFmtId="0" fontId="18" fillId="0" borderId="21" xfId="0" applyFont="1" applyBorder="1" applyAlignment="1">
      <alignment vertical="center"/>
    </xf>
    <xf numFmtId="0" fontId="28" fillId="0" borderId="21" xfId="7" applyFont="1" applyFill="1">
      <alignment horizontal="left"/>
    </xf>
    <xf numFmtId="0" fontId="28" fillId="0" borderId="21" xfId="0" applyFont="1" applyBorder="1" applyAlignment="1">
      <alignment horizontal="center" vertical="center"/>
    </xf>
    <xf numFmtId="43" fontId="28" fillId="9" borderId="21" xfId="4" applyNumberFormat="1" applyFont="1" applyFill="1" applyBorder="1"/>
    <xf numFmtId="44" fontId="28" fillId="9" borderId="21" xfId="5" applyNumberFormat="1" applyFont="1" applyFill="1" applyBorder="1"/>
    <xf numFmtId="44" fontId="28" fillId="0" borderId="0" xfId="5" applyNumberFormat="1" applyFont="1" applyFill="1" applyBorder="1"/>
    <xf numFmtId="0" fontId="34" fillId="0" borderId="21" xfId="8" applyFont="1" applyBorder="1"/>
    <xf numFmtId="0" fontId="34" fillId="0" borderId="21" xfId="8" applyFont="1" applyBorder="1" applyAlignment="1">
      <alignment horizontal="left" vertical="center"/>
    </xf>
    <xf numFmtId="0" fontId="34" fillId="0" borderId="25" xfId="8" applyFont="1" applyFill="1" applyBorder="1" applyAlignment="1">
      <alignment horizontal="left" vertical="center"/>
    </xf>
    <xf numFmtId="0" fontId="36" fillId="0" borderId="21" xfId="4" applyFont="1" applyBorder="1"/>
    <xf numFmtId="0" fontId="30" fillId="0" borderId="21" xfId="0" applyFont="1" applyBorder="1" applyAlignment="1">
      <alignment horizontal="left"/>
    </xf>
    <xf numFmtId="0" fontId="28" fillId="13" borderId="21" xfId="0" applyFont="1" applyFill="1" applyBorder="1" applyAlignment="1">
      <alignment horizontal="left"/>
    </xf>
    <xf numFmtId="0" fontId="37" fillId="0" borderId="21" xfId="0" applyFont="1" applyBorder="1"/>
    <xf numFmtId="0" fontId="18" fillId="0" borderId="21" xfId="4" applyFont="1" applyBorder="1"/>
    <xf numFmtId="0" fontId="28" fillId="14" borderId="21" xfId="0" applyFont="1" applyFill="1" applyBorder="1" applyAlignment="1">
      <alignment horizontal="left"/>
    </xf>
    <xf numFmtId="0" fontId="18" fillId="0" borderId="21" xfId="4" applyFont="1" applyBorder="1" applyAlignment="1">
      <alignment horizontal="center"/>
    </xf>
    <xf numFmtId="1" fontId="38" fillId="0" borderId="21" xfId="0" applyNumberFormat="1" applyFont="1" applyBorder="1"/>
    <xf numFmtId="0" fontId="35" fillId="0" borderId="21" xfId="8" applyFill="1" applyBorder="1" applyAlignment="1">
      <alignment vertical="center"/>
    </xf>
    <xf numFmtId="0" fontId="39" fillId="0" borderId="21" xfId="0" applyFont="1" applyBorder="1"/>
    <xf numFmtId="0" fontId="36" fillId="0" borderId="21" xfId="0" applyFont="1" applyBorder="1" applyAlignment="1">
      <alignment horizontal="left"/>
    </xf>
    <xf numFmtId="0" fontId="40" fillId="0" borderId="21" xfId="8" applyFont="1" applyBorder="1" applyAlignment="1">
      <alignment vertical="center"/>
    </xf>
    <xf numFmtId="0" fontId="34" fillId="0" borderId="21" xfId="8" applyFont="1" applyFill="1" applyBorder="1" applyAlignment="1">
      <alignment horizontal="left" vertical="center" wrapText="1"/>
    </xf>
    <xf numFmtId="0" fontId="34" fillId="0" borderId="0" xfId="0" applyFont="1"/>
    <xf numFmtId="0" fontId="28" fillId="0" borderId="0" xfId="4" applyFont="1" applyAlignment="1">
      <alignment horizontal="left"/>
    </xf>
    <xf numFmtId="0" fontId="34" fillId="0" borderId="26" xfId="8" applyFont="1" applyFill="1" applyBorder="1" applyAlignment="1">
      <alignment horizontal="left" vertical="center"/>
    </xf>
    <xf numFmtId="0" fontId="0" fillId="0" borderId="20" xfId="0" applyBorder="1"/>
    <xf numFmtId="44" fontId="28" fillId="0" borderId="23" xfId="4" applyNumberFormat="1" applyFont="1" applyBorder="1"/>
    <xf numFmtId="44" fontId="28" fillId="0" borderId="24" xfId="5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4" fontId="27" fillId="0" borderId="22" xfId="0" applyNumberFormat="1" applyFont="1" applyBorder="1" applyAlignment="1">
      <alignment horizontal="left" vertical="center"/>
    </xf>
    <xf numFmtId="14" fontId="18" fillId="0" borderId="0" xfId="0" applyNumberFormat="1" applyFont="1"/>
    <xf numFmtId="14" fontId="0" fillId="0" borderId="0" xfId="0" applyNumberFormat="1"/>
    <xf numFmtId="0" fontId="14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166" fontId="4" fillId="2" borderId="0" xfId="0" applyNumberFormat="1" applyFont="1" applyFill="1" applyAlignment="1">
      <alignment horizontal="left"/>
    </xf>
    <xf numFmtId="166" fontId="4" fillId="0" borderId="0" xfId="0" applyNumberFormat="1" applyFont="1" applyAlignment="1">
      <alignment horizontal="left"/>
    </xf>
    <xf numFmtId="0" fontId="4" fillId="2" borderId="0" xfId="0" applyFont="1" applyFill="1"/>
    <xf numFmtId="0" fontId="4" fillId="3" borderId="21" xfId="0" applyFont="1" applyFill="1" applyBorder="1"/>
    <xf numFmtId="0" fontId="4" fillId="3" borderId="21" xfId="0" applyFont="1" applyFill="1" applyBorder="1" applyAlignment="1">
      <alignment horizontal="center"/>
    </xf>
    <xf numFmtId="0" fontId="42" fillId="15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167" fontId="4" fillId="2" borderId="21" xfId="0" applyNumberFormat="1" applyFont="1" applyFill="1" applyBorder="1"/>
    <xf numFmtId="0" fontId="4" fillId="3" borderId="21" xfId="0" applyFont="1" applyFill="1" applyBorder="1" applyAlignment="1">
      <alignment horizontal="left"/>
    </xf>
    <xf numFmtId="167" fontId="4" fillId="3" borderId="21" xfId="0" applyNumberFormat="1" applyFont="1" applyFill="1" applyBorder="1"/>
    <xf numFmtId="167" fontId="42" fillId="15" borderId="21" xfId="0" applyNumberFormat="1" applyFont="1" applyFill="1" applyBorder="1"/>
    <xf numFmtId="0" fontId="4" fillId="3" borderId="21" xfId="0" applyFont="1" applyFill="1" applyBorder="1" applyAlignment="1">
      <alignment horizontal="center" vertical="center"/>
    </xf>
    <xf numFmtId="0" fontId="42" fillId="15" borderId="21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/>
    </xf>
    <xf numFmtId="0" fontId="3" fillId="2" borderId="3" xfId="2" applyFont="1" applyFill="1" applyBorder="1" applyAlignment="1"/>
    <xf numFmtId="0" fontId="3" fillId="0" borderId="3" xfId="2" applyFont="1" applyFill="1" applyBorder="1" applyAlignment="1">
      <alignment horizontal="left"/>
    </xf>
    <xf numFmtId="14" fontId="3" fillId="0" borderId="3" xfId="2" applyNumberFormat="1" applyFont="1" applyFill="1" applyBorder="1" applyAlignment="1">
      <alignment horizontal="left"/>
    </xf>
    <xf numFmtId="166" fontId="3" fillId="0" borderId="3" xfId="2" applyNumberFormat="1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66" fontId="4" fillId="0" borderId="25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14" fontId="4" fillId="0" borderId="29" xfId="0" applyNumberFormat="1" applyFont="1" applyBorder="1" applyAlignment="1">
      <alignment horizontal="left"/>
    </xf>
    <xf numFmtId="166" fontId="4" fillId="0" borderId="29" xfId="0" applyNumberFormat="1" applyFont="1" applyBorder="1" applyAlignment="1">
      <alignment horizontal="left"/>
    </xf>
    <xf numFmtId="166" fontId="4" fillId="0" borderId="30" xfId="0" applyNumberFormat="1" applyFont="1" applyBorder="1" applyAlignment="1">
      <alignment horizontal="left"/>
    </xf>
    <xf numFmtId="166" fontId="44" fillId="0" borderId="0" xfId="0" applyNumberFormat="1" applyFont="1" applyAlignment="1">
      <alignment horizontal="left"/>
    </xf>
    <xf numFmtId="6" fontId="9" fillId="16" borderId="9" xfId="0" applyNumberFormat="1" applyFont="1" applyFill="1" applyBorder="1" applyAlignment="1">
      <alignment vertical="center"/>
    </xf>
    <xf numFmtId="0" fontId="9" fillId="16" borderId="10" xfId="0" applyFont="1" applyFill="1" applyBorder="1" applyAlignment="1">
      <alignment horizontal="left" vertical="center" indent="2"/>
    </xf>
    <xf numFmtId="167" fontId="9" fillId="16" borderId="9" xfId="0" applyNumberFormat="1" applyFont="1" applyFill="1" applyBorder="1" applyAlignment="1">
      <alignment vertic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right" vertical="top"/>
    </xf>
    <xf numFmtId="0" fontId="28" fillId="0" borderId="0" xfId="0" applyFont="1" applyAlignment="1">
      <alignment vertical="top"/>
    </xf>
    <xf numFmtId="44" fontId="28" fillId="0" borderId="0" xfId="3" applyFont="1" applyFill="1" applyAlignment="1">
      <alignment horizontal="right" vertical="top"/>
    </xf>
    <xf numFmtId="0" fontId="18" fillId="0" borderId="0" xfId="0" applyFont="1" applyAlignment="1">
      <alignment horizontal="left" vertical="top"/>
    </xf>
    <xf numFmtId="44" fontId="28" fillId="0" borderId="0" xfId="3" applyFont="1" applyFill="1"/>
    <xf numFmtId="0" fontId="18" fillId="0" borderId="0" xfId="0" applyFont="1" applyAlignment="1">
      <alignment vertical="top"/>
    </xf>
    <xf numFmtId="0" fontId="45" fillId="17" borderId="32" xfId="0" applyFont="1" applyFill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38" fillId="0" borderId="0" xfId="0" applyFont="1"/>
    <xf numFmtId="0" fontId="45" fillId="17" borderId="0" xfId="0" applyFont="1" applyFill="1" applyAlignment="1">
      <alignment horizontal="left" vertical="center"/>
    </xf>
    <xf numFmtId="0" fontId="47" fillId="17" borderId="20" xfId="0" applyFont="1" applyFill="1" applyBorder="1"/>
    <xf numFmtId="0" fontId="47" fillId="17" borderId="34" xfId="0" applyFont="1" applyFill="1" applyBorder="1"/>
    <xf numFmtId="0" fontId="45" fillId="17" borderId="31" xfId="0" applyFont="1" applyFill="1" applyBorder="1" applyAlignment="1">
      <alignment horizontal="left" vertical="center"/>
    </xf>
    <xf numFmtId="0" fontId="45" fillId="17" borderId="22" xfId="0" applyFont="1" applyFill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164" fontId="28" fillId="0" borderId="33" xfId="15" applyFont="1" applyFill="1" applyBorder="1" applyAlignment="1">
      <alignment horizontal="center" vertical="center"/>
    </xf>
    <xf numFmtId="164" fontId="18" fillId="0" borderId="0" xfId="15" applyFont="1" applyFill="1"/>
    <xf numFmtId="164" fontId="28" fillId="0" borderId="0" xfId="15" applyFont="1" applyFill="1" applyAlignment="1">
      <alignment horizontal="right" vertical="top"/>
    </xf>
    <xf numFmtId="164" fontId="28" fillId="0" borderId="0" xfId="15" applyFont="1" applyFill="1"/>
    <xf numFmtId="0" fontId="28" fillId="0" borderId="0" xfId="4" applyFont="1"/>
    <xf numFmtId="0" fontId="28" fillId="0" borderId="0" xfId="0" applyFont="1" applyAlignment="1">
      <alignment horizontal="left" vertical="top"/>
    </xf>
    <xf numFmtId="169" fontId="28" fillId="0" borderId="0" xfId="0" applyNumberFormat="1" applyFont="1"/>
    <xf numFmtId="0" fontId="27" fillId="0" borderId="0" xfId="0" applyFont="1"/>
    <xf numFmtId="15" fontId="28" fillId="0" borderId="0" xfId="0" applyNumberFormat="1" applyFont="1"/>
    <xf numFmtId="164" fontId="27" fillId="0" borderId="0" xfId="0" applyNumberFormat="1" applyFont="1"/>
    <xf numFmtId="164" fontId="27" fillId="0" borderId="0" xfId="15" applyFont="1" applyFill="1"/>
    <xf numFmtId="164" fontId="53" fillId="0" borderId="0" xfId="15" applyFont="1" applyFill="1"/>
    <xf numFmtId="14" fontId="1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/>
    </xf>
    <xf numFmtId="0" fontId="30" fillId="0" borderId="0" xfId="7" applyFont="1" applyFill="1" applyBorder="1">
      <alignment horizontal="left"/>
    </xf>
    <xf numFmtId="0" fontId="53" fillId="0" borderId="40" xfId="0" applyFont="1" applyBorder="1" applyAlignment="1">
      <alignment horizontal="left" vertical="center"/>
    </xf>
    <xf numFmtId="0" fontId="54" fillId="7" borderId="0" xfId="7" applyFont="1" applyBorder="1">
      <alignment horizontal="left"/>
    </xf>
    <xf numFmtId="0" fontId="55" fillId="0" borderId="0" xfId="0" applyFont="1" applyAlignment="1">
      <alignment horizontal="left"/>
    </xf>
    <xf numFmtId="14" fontId="28" fillId="0" borderId="0" xfId="0" applyNumberFormat="1" applyFont="1"/>
    <xf numFmtId="0" fontId="18" fillId="13" borderId="0" xfId="0" applyFont="1" applyFill="1" applyAlignment="1">
      <alignment horizontal="left"/>
    </xf>
    <xf numFmtId="0" fontId="28" fillId="13" borderId="0" xfId="0" applyFont="1" applyFill="1" applyAlignment="1">
      <alignment horizontal="left"/>
    </xf>
    <xf numFmtId="0" fontId="56" fillId="0" borderId="0" xfId="7" applyFont="1" applyFill="1" applyBorder="1">
      <alignment horizontal="left"/>
    </xf>
    <xf numFmtId="0" fontId="36" fillId="0" borderId="0" xfId="0" applyFont="1" applyAlignment="1">
      <alignment horizontal="left"/>
    </xf>
    <xf numFmtId="0" fontId="28" fillId="21" borderId="0" xfId="0" applyFont="1" applyFill="1" applyAlignment="1">
      <alignment horizontal="left"/>
    </xf>
    <xf numFmtId="164" fontId="28" fillId="0" borderId="0" xfId="4" applyNumberFormat="1" applyFont="1" applyAlignment="1">
      <alignment horizontal="left"/>
    </xf>
    <xf numFmtId="164" fontId="28" fillId="0" borderId="21" xfId="4" applyNumberFormat="1" applyFont="1" applyBorder="1" applyAlignment="1">
      <alignment horizontal="right"/>
    </xf>
    <xf numFmtId="164" fontId="28" fillId="0" borderId="21" xfId="5" applyNumberFormat="1" applyFont="1" applyFill="1" applyBorder="1" applyAlignment="1">
      <alignment horizontal="left"/>
    </xf>
    <xf numFmtId="164" fontId="28" fillId="0" borderId="21" xfId="15" applyFont="1" applyFill="1" applyBorder="1" applyAlignment="1">
      <alignment horizontal="right"/>
    </xf>
    <xf numFmtId="164" fontId="28" fillId="0" borderId="21" xfId="4" applyNumberFormat="1" applyFont="1" applyBorder="1" applyAlignment="1">
      <alignment horizontal="left"/>
    </xf>
    <xf numFmtId="165" fontId="28" fillId="0" borderId="21" xfId="4" applyNumberFormat="1" applyFont="1" applyBorder="1" applyAlignment="1">
      <alignment horizontal="right"/>
    </xf>
    <xf numFmtId="164" fontId="27" fillId="0" borderId="21" xfId="4" applyNumberFormat="1" applyFont="1" applyBorder="1" applyAlignment="1">
      <alignment horizontal="right"/>
    </xf>
    <xf numFmtId="166" fontId="28" fillId="0" borderId="0" xfId="0" applyNumberFormat="1" applyFont="1" applyAlignment="1">
      <alignment horizontal="left"/>
    </xf>
    <xf numFmtId="0" fontId="28" fillId="0" borderId="0" xfId="0" applyFont="1" applyAlignment="1">
      <alignment horizontal="right"/>
    </xf>
    <xf numFmtId="164" fontId="28" fillId="0" borderId="0" xfId="15" applyFont="1" applyFill="1" applyAlignment="1">
      <alignment horizontal="right"/>
    </xf>
    <xf numFmtId="165" fontId="28" fillId="0" borderId="0" xfId="4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164" fontId="28" fillId="0" borderId="0" xfId="4" applyNumberFormat="1" applyFont="1" applyAlignment="1">
      <alignment horizontal="right"/>
    </xf>
    <xf numFmtId="164" fontId="27" fillId="8" borderId="21" xfId="5" applyNumberFormat="1" applyFont="1" applyFill="1" applyBorder="1" applyAlignment="1">
      <alignment horizontal="center" vertical="top"/>
    </xf>
    <xf numFmtId="165" fontId="27" fillId="0" borderId="21" xfId="5" applyNumberFormat="1" applyFont="1" applyFill="1" applyBorder="1" applyAlignment="1">
      <alignment horizontal="left"/>
    </xf>
    <xf numFmtId="164" fontId="27" fillId="10" borderId="21" xfId="4" applyNumberFormat="1" applyFont="1" applyFill="1" applyBorder="1"/>
    <xf numFmtId="0" fontId="28" fillId="0" borderId="0" xfId="4" applyFont="1" applyAlignment="1">
      <alignment horizontal="center"/>
    </xf>
    <xf numFmtId="0" fontId="34" fillId="0" borderId="0" xfId="4" applyFont="1" applyAlignment="1">
      <alignment horizontal="left"/>
    </xf>
    <xf numFmtId="49" fontId="28" fillId="0" borderId="0" xfId="0" applyNumberFormat="1" applyFont="1" applyAlignment="1">
      <alignment horizontal="left"/>
    </xf>
    <xf numFmtId="164" fontId="28" fillId="0" borderId="0" xfId="10" applyNumberFormat="1" applyFont="1" applyFill="1" applyBorder="1" applyAlignment="1">
      <alignment horizontal="right"/>
    </xf>
    <xf numFmtId="0" fontId="27" fillId="0" borderId="36" xfId="0" applyFont="1" applyBorder="1" applyAlignment="1">
      <alignment horizontal="left"/>
    </xf>
    <xf numFmtId="0" fontId="28" fillId="0" borderId="37" xfId="4" applyFont="1" applyBorder="1" applyAlignment="1">
      <alignment horizontal="left"/>
    </xf>
    <xf numFmtId="0" fontId="28" fillId="0" borderId="38" xfId="4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0" fontId="28" fillId="0" borderId="25" xfId="4" applyFont="1" applyBorder="1" applyAlignment="1">
      <alignment horizontal="center"/>
    </xf>
    <xf numFmtId="0" fontId="28" fillId="0" borderId="28" xfId="0" applyFont="1" applyBorder="1" applyAlignment="1">
      <alignment horizontal="left"/>
    </xf>
    <xf numFmtId="0" fontId="28" fillId="0" borderId="29" xfId="4" applyFont="1" applyBorder="1" applyAlignment="1">
      <alignment horizontal="left"/>
    </xf>
    <xf numFmtId="0" fontId="28" fillId="0" borderId="30" xfId="4" applyFont="1" applyBorder="1" applyAlignment="1">
      <alignment horizontal="center"/>
    </xf>
    <xf numFmtId="16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171" fontId="28" fillId="0" borderId="0" xfId="0" applyNumberFormat="1" applyFont="1" applyAlignment="1">
      <alignment horizontal="left"/>
    </xf>
    <xf numFmtId="165" fontId="27" fillId="9" borderId="21" xfId="5" applyNumberFormat="1" applyFont="1" applyFill="1" applyBorder="1" applyAlignment="1">
      <alignment horizontal="left"/>
    </xf>
    <xf numFmtId="165" fontId="27" fillId="9" borderId="21" xfId="5" applyNumberFormat="1" applyFont="1" applyFill="1" applyBorder="1" applyAlignment="1">
      <alignment horizontal="right"/>
    </xf>
    <xf numFmtId="164" fontId="27" fillId="9" borderId="21" xfId="4" applyNumberFormat="1" applyFont="1" applyFill="1" applyBorder="1"/>
    <xf numFmtId="0" fontId="27" fillId="0" borderId="23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30" fillId="0" borderId="23" xfId="6" applyFont="1" applyFill="1" applyBorder="1" applyAlignment="1">
      <alignment horizontal="left"/>
    </xf>
    <xf numFmtId="0" fontId="28" fillId="0" borderId="35" xfId="4" applyFont="1" applyBorder="1" applyAlignment="1">
      <alignment horizontal="left"/>
    </xf>
    <xf numFmtId="165" fontId="27" fillId="9" borderId="21" xfId="5" applyNumberFormat="1" applyFont="1" applyFill="1" applyBorder="1" applyAlignment="1"/>
    <xf numFmtId="165" fontId="27" fillId="0" borderId="21" xfId="4" applyNumberFormat="1" applyFont="1" applyBorder="1"/>
    <xf numFmtId="164" fontId="27" fillId="0" borderId="21" xfId="4" applyNumberFormat="1" applyFont="1" applyBorder="1"/>
    <xf numFmtId="164" fontId="27" fillId="0" borderId="21" xfId="15" applyFont="1" applyFill="1" applyBorder="1" applyAlignment="1"/>
    <xf numFmtId="164" fontId="27" fillId="9" borderId="21" xfId="15" applyFont="1" applyFill="1" applyBorder="1" applyAlignment="1"/>
    <xf numFmtId="165" fontId="27" fillId="9" borderId="21" xfId="5" applyNumberFormat="1" applyFont="1" applyFill="1" applyBorder="1" applyAlignment="1">
      <alignment vertical="top"/>
    </xf>
    <xf numFmtId="164" fontId="27" fillId="8" borderId="21" xfId="4" applyNumberFormat="1" applyFont="1" applyFill="1" applyBorder="1"/>
    <xf numFmtId="164" fontId="28" fillId="0" borderId="21" xfId="5" applyNumberFormat="1" applyFont="1" applyFill="1" applyBorder="1" applyAlignment="1"/>
    <xf numFmtId="165" fontId="28" fillId="0" borderId="24" xfId="4" applyNumberFormat="1" applyFont="1" applyBorder="1"/>
    <xf numFmtId="165" fontId="28" fillId="0" borderId="21" xfId="4" applyNumberFormat="1" applyFont="1" applyBorder="1"/>
    <xf numFmtId="165" fontId="28" fillId="0" borderId="24" xfId="0" applyNumberFormat="1" applyFont="1" applyBorder="1"/>
    <xf numFmtId="165" fontId="28" fillId="0" borderId="21" xfId="0" applyNumberFormat="1" applyFont="1" applyBorder="1"/>
    <xf numFmtId="164" fontId="28" fillId="0" borderId="0" xfId="0" applyNumberFormat="1" applyFont="1"/>
    <xf numFmtId="164" fontId="27" fillId="8" borderId="21" xfId="5" applyNumberFormat="1" applyFont="1" applyFill="1" applyBorder="1" applyAlignment="1"/>
    <xf numFmtId="164" fontId="27" fillId="0" borderId="21" xfId="5" applyNumberFormat="1" applyFont="1" applyFill="1" applyBorder="1" applyAlignment="1"/>
    <xf numFmtId="0" fontId="34" fillId="0" borderId="21" xfId="8" applyFont="1" applyFill="1" applyBorder="1" applyAlignment="1"/>
    <xf numFmtId="0" fontId="28" fillId="0" borderId="23" xfId="7" applyFont="1" applyFill="1" applyBorder="1">
      <alignment horizontal="left"/>
    </xf>
    <xf numFmtId="164" fontId="28" fillId="0" borderId="21" xfId="4" applyNumberFormat="1" applyFont="1" applyBorder="1"/>
    <xf numFmtId="164" fontId="28" fillId="0" borderId="23" xfId="5" applyNumberFormat="1" applyFont="1" applyFill="1" applyBorder="1" applyAlignment="1"/>
    <xf numFmtId="164" fontId="27" fillId="10" borderId="24" xfId="4" applyNumberFormat="1" applyFont="1" applyFill="1" applyBorder="1"/>
    <xf numFmtId="164" fontId="27" fillId="11" borderId="21" xfId="0" applyNumberFormat="1" applyFont="1" applyFill="1" applyBorder="1"/>
    <xf numFmtId="164" fontId="28" fillId="0" borderId="21" xfId="0" applyNumberFormat="1" applyFont="1" applyBorder="1"/>
    <xf numFmtId="164" fontId="28" fillId="0" borderId="21" xfId="15" applyFont="1" applyFill="1" applyBorder="1" applyAlignment="1"/>
    <xf numFmtId="0" fontId="35" fillId="0" borderId="21" xfId="8" applyFill="1" applyBorder="1" applyAlignment="1"/>
    <xf numFmtId="0" fontId="35" fillId="0" borderId="21" xfId="8" applyBorder="1" applyAlignment="1"/>
    <xf numFmtId="2" fontId="27" fillId="0" borderId="21" xfId="4" applyNumberFormat="1" applyFont="1" applyBorder="1"/>
    <xf numFmtId="2" fontId="28" fillId="0" borderId="21" xfId="5" applyNumberFormat="1" applyFont="1" applyFill="1" applyBorder="1" applyAlignment="1"/>
    <xf numFmtId="164" fontId="28" fillId="0" borderId="21" xfId="5" quotePrefix="1" applyNumberFormat="1" applyFont="1" applyFill="1" applyBorder="1" applyAlignment="1"/>
    <xf numFmtId="164" fontId="28" fillId="20" borderId="21" xfId="0" applyNumberFormat="1" applyFont="1" applyFill="1" applyBorder="1"/>
    <xf numFmtId="0" fontId="58" fillId="0" borderId="21" xfId="8" applyFont="1" applyFill="1" applyBorder="1" applyAlignment="1"/>
    <xf numFmtId="164" fontId="28" fillId="0" borderId="0" xfId="5" applyNumberFormat="1" applyFont="1" applyFill="1" applyBorder="1" applyAlignment="1"/>
    <xf numFmtId="164" fontId="27" fillId="9" borderId="21" xfId="5" applyNumberFormat="1" applyFont="1" applyFill="1" applyBorder="1" applyAlignment="1"/>
    <xf numFmtId="0" fontId="34" fillId="0" borderId="21" xfId="8" applyFont="1" applyBorder="1" applyAlignment="1"/>
    <xf numFmtId="164" fontId="28" fillId="0" borderId="24" xfId="5" applyNumberFormat="1" applyFont="1" applyFill="1" applyBorder="1" applyAlignment="1"/>
    <xf numFmtId="165" fontId="28" fillId="9" borderId="21" xfId="4" applyNumberFormat="1" applyFont="1" applyFill="1" applyBorder="1"/>
    <xf numFmtId="164" fontId="28" fillId="9" borderId="21" xfId="5" applyNumberFormat="1" applyFont="1" applyFill="1" applyBorder="1" applyAlignment="1"/>
    <xf numFmtId="170" fontId="27" fillId="0" borderId="0" xfId="4" applyNumberFormat="1" applyFont="1"/>
    <xf numFmtId="164" fontId="27" fillId="0" borderId="0" xfId="10" applyNumberFormat="1" applyFont="1" applyFill="1" applyBorder="1" applyAlignment="1"/>
    <xf numFmtId="164" fontId="28" fillId="0" borderId="0" xfId="10" applyNumberFormat="1" applyFont="1" applyFill="1" applyBorder="1" applyAlignment="1"/>
    <xf numFmtId="170" fontId="28" fillId="0" borderId="0" xfId="4" applyNumberFormat="1" applyFont="1"/>
    <xf numFmtId="164" fontId="28" fillId="0" borderId="0" xfId="4" applyNumberFormat="1" applyFont="1"/>
    <xf numFmtId="0" fontId="28" fillId="0" borderId="37" xfId="0" applyFont="1" applyBorder="1"/>
    <xf numFmtId="0" fontId="34" fillId="0" borderId="37" xfId="0" applyFont="1" applyBorder="1"/>
    <xf numFmtId="0" fontId="28" fillId="0" borderId="37" xfId="4" applyFont="1" applyBorder="1"/>
    <xf numFmtId="164" fontId="28" fillId="0" borderId="39" xfId="4" applyNumberFormat="1" applyFont="1" applyBorder="1"/>
    <xf numFmtId="0" fontId="28" fillId="0" borderId="25" xfId="0" applyFont="1" applyBorder="1" applyAlignment="1">
      <alignment horizontal="left"/>
    </xf>
    <xf numFmtId="0" fontId="34" fillId="0" borderId="0" xfId="8" applyFont="1" applyFill="1" applyAlignment="1"/>
    <xf numFmtId="0" fontId="28" fillId="0" borderId="0" xfId="7" applyFont="1" applyFill="1" applyBorder="1">
      <alignment horizontal="left"/>
    </xf>
    <xf numFmtId="2" fontId="28" fillId="0" borderId="0" xfId="0" applyNumberFormat="1" applyFont="1"/>
    <xf numFmtId="49" fontId="28" fillId="0" borderId="0" xfId="0" applyNumberFormat="1" applyFont="1"/>
    <xf numFmtId="164" fontId="28" fillId="0" borderId="0" xfId="15" applyFont="1" applyFill="1" applyBorder="1" applyAlignment="1"/>
    <xf numFmtId="0" fontId="28" fillId="0" borderId="29" xfId="0" applyFont="1" applyBorder="1"/>
    <xf numFmtId="0" fontId="34" fillId="0" borderId="29" xfId="0" applyFont="1" applyBorder="1"/>
    <xf numFmtId="0" fontId="28" fillId="0" borderId="29" xfId="4" applyFont="1" applyBorder="1"/>
    <xf numFmtId="165" fontId="28" fillId="0" borderId="0" xfId="0" applyNumberFormat="1" applyFont="1"/>
    <xf numFmtId="170" fontId="27" fillId="0" borderId="0" xfId="10" applyNumberFormat="1" applyFont="1" applyFill="1" applyBorder="1" applyAlignment="1"/>
    <xf numFmtId="168" fontId="28" fillId="0" borderId="0" xfId="0" applyNumberFormat="1" applyFont="1"/>
    <xf numFmtId="164" fontId="27" fillId="0" borderId="0" xfId="4" applyNumberFormat="1" applyFont="1"/>
    <xf numFmtId="164" fontId="34" fillId="0" borderId="0" xfId="4" applyNumberFormat="1" applyFont="1"/>
    <xf numFmtId="164" fontId="28" fillId="0" borderId="0" xfId="15" applyFont="1" applyFill="1" applyAlignment="1"/>
    <xf numFmtId="165" fontId="28" fillId="0" borderId="0" xfId="4" applyNumberFormat="1" applyFont="1"/>
    <xf numFmtId="49" fontId="28" fillId="0" borderId="23" xfId="0" applyNumberFormat="1" applyFont="1" applyBorder="1" applyAlignment="1">
      <alignment horizontal="left"/>
    </xf>
    <xf numFmtId="0" fontId="28" fillId="14" borderId="23" xfId="0" applyFont="1" applyFill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28" fillId="13" borderId="23" xfId="0" applyFont="1" applyFill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57" fillId="0" borderId="23" xfId="0" applyFont="1" applyBorder="1" applyAlignment="1">
      <alignment horizontal="left"/>
    </xf>
    <xf numFmtId="0" fontId="28" fillId="22" borderId="23" xfId="0" applyFont="1" applyFill="1" applyBorder="1" applyAlignment="1">
      <alignment horizontal="left"/>
    </xf>
    <xf numFmtId="0" fontId="36" fillId="0" borderId="23" xfId="6" applyFont="1" applyFill="1" applyBorder="1" applyAlignment="1">
      <alignment horizontal="left"/>
    </xf>
    <xf numFmtId="0" fontId="34" fillId="0" borderId="25" xfId="8" applyFont="1" applyBorder="1" applyAlignment="1">
      <alignment horizontal="left" vertical="center"/>
    </xf>
    <xf numFmtId="164" fontId="28" fillId="0" borderId="23" xfId="4" applyNumberFormat="1" applyFont="1" applyBorder="1"/>
    <xf numFmtId="164" fontId="0" fillId="0" borderId="0" xfId="15" applyFont="1"/>
    <xf numFmtId="164" fontId="0" fillId="0" borderId="0" xfId="0" applyNumberFormat="1"/>
    <xf numFmtId="164" fontId="0" fillId="0" borderId="0" xfId="3" applyNumberFormat="1" applyFont="1"/>
    <xf numFmtId="172" fontId="0" fillId="0" borderId="0" xfId="0" applyNumberFormat="1"/>
    <xf numFmtId="0" fontId="8" fillId="4" borderId="6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14" fontId="28" fillId="0" borderId="0" xfId="0" applyNumberFormat="1" applyFont="1" applyAlignment="1">
      <alignment horizontal="right"/>
    </xf>
    <xf numFmtId="44" fontId="28" fillId="0" borderId="0" xfId="3" applyFont="1" applyFill="1" applyBorder="1"/>
    <xf numFmtId="0" fontId="62" fillId="0" borderId="0" xfId="0" applyFont="1" applyAlignment="1">
      <alignment horizontal="left"/>
    </xf>
    <xf numFmtId="44" fontId="18" fillId="23" borderId="0" xfId="3" applyFont="1" applyFill="1"/>
    <xf numFmtId="0" fontId="47" fillId="24" borderId="42" xfId="0" applyFont="1" applyFill="1" applyBorder="1"/>
    <xf numFmtId="0" fontId="47" fillId="24" borderId="43" xfId="0" applyFont="1" applyFill="1" applyBorder="1"/>
    <xf numFmtId="14" fontId="47" fillId="24" borderId="43" xfId="0" applyNumberFormat="1" applyFont="1" applyFill="1" applyBorder="1"/>
    <xf numFmtId="164" fontId="47" fillId="24" borderId="43" xfId="15" applyFont="1" applyFill="1" applyBorder="1"/>
    <xf numFmtId="164" fontId="47" fillId="24" borderId="44" xfId="15" applyFont="1" applyFill="1" applyBorder="1"/>
    <xf numFmtId="44" fontId="0" fillId="0" borderId="0" xfId="0" applyNumberFormat="1"/>
    <xf numFmtId="0" fontId="0" fillId="0" borderId="43" xfId="0" applyBorder="1"/>
    <xf numFmtId="0" fontId="28" fillId="0" borderId="43" xfId="0" applyFont="1" applyBorder="1" applyAlignment="1">
      <alignment horizontal="left"/>
    </xf>
    <xf numFmtId="0" fontId="0" fillId="0" borderId="45" xfId="0" applyBorder="1"/>
    <xf numFmtId="0" fontId="28" fillId="0" borderId="45" xfId="0" applyFont="1" applyBorder="1" applyAlignment="1">
      <alignment horizontal="left"/>
    </xf>
    <xf numFmtId="171" fontId="18" fillId="0" borderId="45" xfId="0" applyNumberFormat="1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59" fillId="0" borderId="41" xfId="0" applyFont="1" applyBorder="1" applyAlignment="1">
      <alignment horizontal="center" wrapText="1"/>
    </xf>
    <xf numFmtId="0" fontId="41" fillId="2" borderId="4" xfId="1" applyFont="1" applyFill="1" applyBorder="1" applyAlignment="1">
      <alignment horizontal="center"/>
    </xf>
    <xf numFmtId="0" fontId="46" fillId="18" borderId="0" xfId="0" applyFont="1" applyFill="1" applyAlignment="1">
      <alignment horizontal="center"/>
    </xf>
  </cellXfs>
  <cellStyles count="20">
    <cellStyle name="Accent2" xfId="6" builtinId="33"/>
    <cellStyle name="Currency" xfId="3" builtinId="4"/>
    <cellStyle name="Currency 2" xfId="15" xr:uid="{8288E079-8315-4002-99D3-011B2EA5906A}"/>
    <cellStyle name="Heading 1" xfId="1" builtinId="16"/>
    <cellStyle name="Heading 1 2" xfId="13" xr:uid="{857C7A59-94BF-4DFC-A56E-271269937A77}"/>
    <cellStyle name="Heading 3" xfId="2" builtinId="18"/>
    <cellStyle name="Heading 4" xfId="5" builtinId="19"/>
    <cellStyle name="Hyperlink" xfId="8" builtinId="8"/>
    <cellStyle name="Hyperlink 2" xfId="18" xr:uid="{31C46F08-F40A-4966-BFC8-E5257194CB2A}"/>
    <cellStyle name="Hyperlink 3" xfId="19" xr:uid="{F11C7911-552B-4A68-B89B-B74021DA5B7B}"/>
    <cellStyle name="Normal" xfId="0" builtinId="0"/>
    <cellStyle name="Normal 2" xfId="4" xr:uid="{00000000-0005-0000-0000-000007000000}"/>
    <cellStyle name="Normal 2 2" xfId="17" xr:uid="{9F41F41D-1229-4244-8A5E-70AE16EC6B29}"/>
    <cellStyle name="Normal 2 3" xfId="9" xr:uid="{00000000-0005-0000-0000-000008000000}"/>
    <cellStyle name="Normal 2 4" xfId="16" xr:uid="{DE28F536-8DB0-4988-BEFF-0B8171853C0C}"/>
    <cellStyle name="Normal 3" xfId="11" xr:uid="{0514B8FD-0438-411B-AB74-5A88EF311705}"/>
    <cellStyle name="Normal 4" xfId="12" xr:uid="{D6AEE7D8-1037-4404-8031-054843FB325D}"/>
    <cellStyle name="Style 1" xfId="7" xr:uid="{00000000-0005-0000-0000-000009000000}"/>
    <cellStyle name="Title 2" xfId="14" xr:uid="{7B7ED8E1-F472-44AE-9F30-B56BFB831346}"/>
    <cellStyle name="Total" xfId="10" builtinId="25"/>
  </cellStyles>
  <dxfs count="1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70" formatCode="[$-409]d\-mmm\-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70" formatCode="[$-409]d\-mmm\-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double">
          <color rgb="FF5B9BD5"/>
        </bottom>
      </border>
    </dxf>
    <dxf>
      <border outline="0">
        <top style="thin">
          <color rgb="FF5B9BD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</dxf>
    <dxf>
      <border outline="0">
        <bottom style="double">
          <color theme="4"/>
        </bottom>
      </border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</dxf>
    <dxf>
      <border outline="0">
        <bottom style="double">
          <color rgb="FF5B9BD5"/>
        </bottom>
      </border>
    </dxf>
    <dxf>
      <border outline="0">
        <top style="thin">
          <color rgb="FF5B9BD5"/>
        </top>
      </border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rgb="FF99CC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7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70" formatCode="[$-409]d\-mmm\-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70" formatCode="[$-409]d\-mmm\-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70" formatCode="[$-409]d\-mmm\-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73" formatCode="yyyy/mm/d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73" formatCode="yyyy/mm/d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73" formatCode="yyyy/mm/d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73" formatCode="yyyy/mm/d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73" formatCode="yyyy/mm/dd"/>
    </dxf>
    <dxf>
      <numFmt numFmtId="173" formatCode="yyyy/mm/dd"/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3" defaultTableStyle="TableStyleMedium2" defaultPivotStyle="PivotStyleLight16">
    <tableStyle name="PivotStyleLight16 2" table="0" count="11" xr9:uid="{00000000-0011-0000-FFFF-FFFF00000000}">
      <tableStyleElement type="headerRow" dxfId="193"/>
      <tableStyleElement type="totalRow" dxfId="192"/>
      <tableStyleElement type="firstRowStripe" dxfId="191"/>
      <tableStyleElement type="firstColumnStripe" dxfId="190"/>
      <tableStyleElement type="firstSubtotalColumn" dxfId="189"/>
      <tableStyleElement type="firstSubtotalRow" dxfId="188"/>
      <tableStyleElement type="secondSubtotalRow" dxfId="187"/>
      <tableStyleElement type="firstRowSubheading" dxfId="186"/>
      <tableStyleElement type="secondRowSubheading" dxfId="185"/>
      <tableStyleElement type="pageFieldLabels" dxfId="184"/>
      <tableStyleElement type="pageFieldValues" dxfId="183"/>
    </tableStyle>
    <tableStyle name="PivotStyleLight16 3" table="0" count="11" xr9:uid="{00000000-0011-0000-FFFF-FFFF01000000}">
      <tableStyleElement type="headerRow" dxfId="182"/>
      <tableStyleElement type="totalRow" dxfId="181"/>
      <tableStyleElement type="firstRowStripe" dxfId="180"/>
      <tableStyleElement type="firstColumnStripe" dxfId="179"/>
      <tableStyleElement type="firstSubtotalColumn" dxfId="178"/>
      <tableStyleElement type="firstSubtotalRow" dxfId="177"/>
      <tableStyleElement type="secondSubtotalRow" dxfId="176"/>
      <tableStyleElement type="firstRowSubheading" dxfId="175"/>
      <tableStyleElement type="secondRowSubheading" dxfId="174"/>
      <tableStyleElement type="pageFieldLabels" dxfId="173"/>
      <tableStyleElement type="pageFieldValues" dxfId="172"/>
    </tableStyle>
    <tableStyle name="Project Timeline" pivot="0" count="2" xr9:uid="{A8DE2217-2543-426C-9C9C-3FB79408925A}">
      <tableStyleElement type="wholeTable" dxfId="171"/>
      <tableStyleElement type="headerRow" dxfId="1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Relationship Id="rId27" Type="http://schemas.openxmlformats.org/officeDocument/2006/relationships/pivotCacheDefinition" Target="pivotCache/pivotCacheDefinition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fault User" refreshedDate="44250.723484490743" createdVersion="6" refreshedVersion="6" minRefreshableVersion="3" recordCount="132" xr:uid="{00000000-000A-0000-FFFF-FFFF6C000000}">
  <cacheSource type="worksheet">
    <worksheetSource name="Table2"/>
  </cacheSource>
  <cacheFields count="15">
    <cacheField name="Fund Number" numFmtId="0">
      <sharedItems containsSemiMixedTypes="0" containsString="0" containsNumber="1" containsInteger="1" minValue="499942" maxValue="508292"/>
    </cacheField>
    <cacheField name="FC Number" numFmtId="0">
      <sharedItems containsSemiMixedTypes="0" containsString="0" containsNumber="1" containsInteger="1" minValue="107525" maxValue="213061"/>
    </cacheField>
    <cacheField name="Concatenate" numFmtId="0">
      <sharedItems/>
    </cacheField>
    <cacheField name="Duplicate" numFmtId="0">
      <sharedItems containsBlank="1" count="2">
        <m/>
        <s v="Y"/>
      </sharedItems>
    </cacheField>
    <cacheField name="Program-As per MbD Summary" numFmtId="0">
      <sharedItems/>
    </cacheField>
    <cacheField name="Program Name" numFmtId="0">
      <sharedItems count="6">
        <s v="MbD Operations &amp; Outreach"/>
        <s v="Postdoctoral Fellowship "/>
        <s v="New Ideas"/>
        <s v="New Hire Faculty Support"/>
        <s v="Engineering-Medicine/Hospital - EMHSeed"/>
        <s v="MbD Team Project Award (&quot;Cycle 2&quot;)"/>
      </sharedItems>
    </cacheField>
    <cacheField name="PI First Name" numFmtId="0">
      <sharedItems/>
    </cacheField>
    <cacheField name="PI Last Name" numFmtId="0">
      <sharedItems/>
    </cacheField>
    <cacheField name="PI Name" numFmtId="0">
      <sharedItems/>
    </cacheField>
    <cacheField name="Description" numFmtId="0">
      <sharedItems/>
    </cacheField>
    <cacheField name="Location" numFmtId="0">
      <sharedItems/>
    </cacheField>
    <cacheField name="Start Date" numFmtId="14">
      <sharedItems containsSemiMixedTypes="0" containsNonDate="0" containsDate="1" containsString="0" minDate="2015-09-01T00:00:00" maxDate="2019-09-02T00:00:00"/>
    </cacheField>
    <cacheField name="End Date" numFmtId="14">
      <sharedItems containsSemiMixedTypes="0" containsNonDate="0" containsDate="1" containsString="0" minDate="2019-09-20T00:00:00" maxDate="2022-07-01T00:00:00"/>
    </cacheField>
    <cacheField name="Budget" numFmtId="44">
      <sharedItems containsSemiMixedTypes="0" containsString="0" containsNumber="1" minValue="10000" maxValue="900000"/>
    </cacheField>
    <cacheField name="OH" numFmtId="44">
      <sharedItems containsSemiMixedTypes="0" containsString="0" containsNumber="1" minValue="3333" maxValue="2999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fault User" refreshedDate="44250.724245138888" createdVersion="6" refreshedVersion="6" minRefreshableVersion="3" recordCount="132" xr:uid="{00000000-000A-0000-FFFF-FFFF6D000000}">
  <cacheSource type="worksheet">
    <worksheetSource name="Table29"/>
  </cacheSource>
  <cacheFields count="10">
    <cacheField name="Fund Number" numFmtId="0">
      <sharedItems containsSemiMixedTypes="0" containsString="0" containsNumber="1" containsInteger="1" minValue="499942" maxValue="508292"/>
    </cacheField>
    <cacheField name="FC Number" numFmtId="0">
      <sharedItems containsSemiMixedTypes="0" containsString="0" containsNumber="1" containsInteger="1" minValue="107525" maxValue="213061"/>
    </cacheField>
    <cacheField name="Program Name" numFmtId="0">
      <sharedItems count="6">
        <s v="MbD Operations &amp; Outreach"/>
        <s v="Postdoctoral Fellowship "/>
        <s v="New Ideas"/>
        <s v="New Hire Faculty Support"/>
        <s v="Engineering-Medicine/Hospital - EMHSeed"/>
        <s v="MbD Team Project Award (&quot;Cycle 2&quot;)"/>
      </sharedItems>
    </cacheField>
    <cacheField name="PI Name" numFmtId="0">
      <sharedItems/>
    </cacheField>
    <cacheField name="Description" numFmtId="0">
      <sharedItems/>
    </cacheField>
    <cacheField name="Location" numFmtId="0">
      <sharedItems/>
    </cacheField>
    <cacheField name="Start Date" numFmtId="14">
      <sharedItems containsSemiMixedTypes="0" containsNonDate="0" containsDate="1" containsString="0" minDate="2015-09-01T00:00:00" maxDate="2019-09-02T00:00:00"/>
    </cacheField>
    <cacheField name="End Date" numFmtId="14">
      <sharedItems containsSemiMixedTypes="0" containsNonDate="0" containsDate="1" containsString="0" minDate="2019-09-20T00:00:00" maxDate="2022-07-01T00:00:00"/>
    </cacheField>
    <cacheField name="Budget" numFmtId="44">
      <sharedItems containsSemiMixedTypes="0" containsString="0" containsNumber="1" minValue="10000" maxValue="900000"/>
    </cacheField>
    <cacheField name="OH" numFmtId="44">
      <sharedItems containsSemiMixedTypes="0" containsString="0" containsNumber="1" minValue="3333" maxValue="2999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fault User" refreshedDate="44256.43298391204" createdVersion="6" refreshedVersion="6" minRefreshableVersion="3" recordCount="130" xr:uid="{00000000-000A-0000-FFFF-FFFF6F000000}">
  <cacheSource type="worksheet">
    <worksheetSource name="Table47"/>
  </cacheSource>
  <cacheFields count="10">
    <cacheField name="Fund Number" numFmtId="0">
      <sharedItems containsSemiMixedTypes="0" containsString="0" containsNumber="1" containsInteger="1" minValue="499942" maxValue="511440"/>
    </cacheField>
    <cacheField name="FC Number" numFmtId="0">
      <sharedItems containsSemiMixedTypes="0" containsString="0" containsNumber="1" containsInteger="1" minValue="107525" maxValue="212893"/>
    </cacheField>
    <cacheField name="Program Name" numFmtId="0">
      <sharedItems count="7">
        <s v="MbD Operations &amp; Outreach"/>
        <s v="MbD Team Project Award (&quot;Cycle 1&quot;)"/>
        <s v="Postdoctoral Fellowship "/>
        <s v="New Hire Faculty Support"/>
        <s v="New Ideas"/>
        <s v="MbD Team Project Award (&quot;Cycle 2&quot;)"/>
        <s v="Engineering-Medicine/Hospital - EMHSeed"/>
      </sharedItems>
    </cacheField>
    <cacheField name="PI Name" numFmtId="0">
      <sharedItems/>
    </cacheField>
    <cacheField name="Description" numFmtId="0">
      <sharedItems/>
    </cacheField>
    <cacheField name="Location" numFmtId="0">
      <sharedItems/>
    </cacheField>
    <cacheField name="Start Date" numFmtId="14">
      <sharedItems containsSemiMixedTypes="0" containsNonDate="0" containsDate="1" containsString="0" minDate="2015-09-01T00:00:00" maxDate="2020-09-02T00:00:00"/>
    </cacheField>
    <cacheField name="End Date" numFmtId="14">
      <sharedItems containsSemiMixedTypes="0" containsNonDate="0" containsDate="1" containsString="0" minDate="2019-08-31T00:00:00" maxDate="2022-09-02T00:00:00"/>
    </cacheField>
    <cacheField name="Budget" numFmtId="44">
      <sharedItems containsSemiMixedTypes="0" containsString="0" containsNumber="1" minValue="-445000" maxValue="608571"/>
    </cacheField>
    <cacheField name="OH" numFmtId="44">
      <sharedItems containsSemiMixedTypes="0" containsString="0" containsNumber="1" minValue="-148318.5" maxValue="202836.7142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fault User" refreshedDate="44256.510897685184" createdVersion="6" refreshedVersion="6" minRefreshableVersion="3" recordCount="130" xr:uid="{00000000-000A-0000-FFFF-FFFF73000000}">
  <cacheSource type="worksheet">
    <worksheetSource name="Table4"/>
  </cacheSource>
  <cacheFields count="13">
    <cacheField name="Fund Number" numFmtId="0">
      <sharedItems containsSemiMixedTypes="0" containsString="0" containsNumber="1" containsInteger="1" minValue="499942" maxValue="511440"/>
    </cacheField>
    <cacheField name="FC Number" numFmtId="0">
      <sharedItems containsSemiMixedTypes="0" containsString="0" containsNumber="1" containsInteger="1" minValue="107525" maxValue="212893"/>
    </cacheField>
    <cacheField name="Duplicate Reference" numFmtId="0">
      <sharedItems/>
    </cacheField>
    <cacheField name="Duplicate?" numFmtId="0">
      <sharedItems containsBlank="1" count="2">
        <m/>
        <s v="Yes"/>
      </sharedItems>
    </cacheField>
    <cacheField name="Program- MbD" numFmtId="0">
      <sharedItems/>
    </cacheField>
    <cacheField name="Program Name" numFmtId="0">
      <sharedItems count="7">
        <s v="MbD Operations &amp; Outreach"/>
        <s v="MbD Team Project Award (&quot;Cycle 1&quot;)"/>
        <s v="Postdoctoral Fellowship "/>
        <s v="New Hire Faculty Support"/>
        <s v="New Ideas"/>
        <s v="MbD Team Project Award (&quot;Cycle 2&quot;)"/>
        <s v="Engineering-Medicine/Hospital - EMHSeed"/>
      </sharedItems>
    </cacheField>
    <cacheField name="PI Name" numFmtId="0">
      <sharedItems/>
    </cacheField>
    <cacheField name="Description" numFmtId="0">
      <sharedItems/>
    </cacheField>
    <cacheField name="Location" numFmtId="0">
      <sharedItems/>
    </cacheField>
    <cacheField name="Start Date" numFmtId="14">
      <sharedItems containsSemiMixedTypes="0" containsNonDate="0" containsDate="1" containsString="0" minDate="2015-09-01T00:00:00" maxDate="2020-09-02T00:00:00"/>
    </cacheField>
    <cacheField name="End Date" numFmtId="14">
      <sharedItems containsSemiMixedTypes="0" containsNonDate="0" containsDate="1" containsString="0" minDate="2019-08-31T00:00:00" maxDate="2022-09-02T00:00:00"/>
    </cacheField>
    <cacheField name="Budget" numFmtId="44">
      <sharedItems containsSemiMixedTypes="0" containsString="0" containsNumber="1" minValue="-445000" maxValue="608571"/>
    </cacheField>
    <cacheField name="OH" numFmtId="44">
      <sharedItems containsSemiMixedTypes="0" containsString="0" containsNumber="1" minValue="-148318.5" maxValue="202836.7142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chelle Carvalho" refreshedDate="44574.598690624996" createdVersion="6" refreshedVersion="6" minRefreshableVersion="3" recordCount="139" xr:uid="{7724DC20-3298-4987-BA36-ED90170A8626}">
  <cacheSource type="worksheet">
    <worksheetSource name="Table7"/>
  </cacheSource>
  <cacheFields count="13">
    <cacheField name="Fund Number" numFmtId="0">
      <sharedItems containsSemiMixedTypes="0" containsString="0" containsNumber="1" containsInteger="1" minValue="499942" maxValue="512403"/>
    </cacheField>
    <cacheField name="FC Number" numFmtId="0">
      <sharedItems containsSemiMixedTypes="0" containsString="0" containsNumber="1" containsInteger="1" minValue="107525" maxValue="213202"/>
    </cacheField>
    <cacheField name="Duplicate Ref?" numFmtId="0">
      <sharedItems/>
    </cacheField>
    <cacheField name="Duplicate-Y/N" numFmtId="0">
      <sharedItems containsBlank="1" count="2">
        <m/>
        <s v="Yes"/>
      </sharedItems>
    </cacheField>
    <cacheField name="Program- MbD" numFmtId="0">
      <sharedItems/>
    </cacheField>
    <cacheField name="Program Name" numFmtId="0">
      <sharedItems count="8">
        <s v="MbD Operations &amp; Outreach"/>
        <s v="MbD Team Project Award (&quot;Cycle 1&quot;)"/>
        <s v="Postdoctoral Fellowship "/>
        <s v="New Hire Faculty Support"/>
        <s v="New Ideas"/>
        <s v="MbD Team Project Award (&quot;Cycle 2&quot;)"/>
        <s v="Engineering-Medicine/Hospital - EMHSeed"/>
        <s v="Special Projects"/>
      </sharedItems>
    </cacheField>
    <cacheField name="PI Full Name" numFmtId="0">
      <sharedItems count="89">
        <s v="DIRECTOR EXECUTIVE"/>
        <s v="Sidhartha Goyal"/>
        <s v="Keith Pardee"/>
        <s v="Cristina Nostro"/>
        <s v="Craig Simmons"/>
        <s v="Aaron Wheeler"/>
        <s v="Tae-Hee Kim"/>
        <s v="Yun LI"/>
        <s v="Freda Miller"/>
        <s v="Sarah Crome"/>
        <s v="Stephanie Protze"/>
        <s v="Mikko Taipale"/>
        <s v="Cindi Morshead"/>
        <s v="Daniel Schramek"/>
        <s v="Penney Gilbert"/>
        <s v="Bebhinn Treanor"/>
        <s v="Leo Chou"/>
        <s v="Robert Hamilton"/>
        <s v="Sachdev Sidhu"/>
        <s v="Yu Sun"/>
        <s v="Sevan Hopyan"/>
        <s v="Radhakrishnan Mahadevan"/>
        <s v="Anthony Gramolini"/>
        <s v="Hai-Ling Cheng"/>
        <s v="Slava Epelman"/>
        <s v="Michael Laflamme"/>
        <s v="Nilesh Ghurgre"/>
        <s v="Mark Friedberg"/>
        <s v="Scott Heximer"/>
        <s v="Gordon Keller"/>
        <s v="Peter Zandstra"/>
        <s v="Alison McGuigan"/>
        <s v="David Kaplan"/>
        <s v="Gary Bader"/>
        <s v="Stephane Angers"/>
        <s v="Jason Moffat"/>
        <s v="Ben Blencowe"/>
        <s v="Shana Kelley"/>
        <s v="Isabelle Aubert"/>
        <s v="Melanie Woodin"/>
        <s v="Maryam Faiz"/>
        <s v="Carol Schuurmans"/>
        <s v="Myron Cybulsky"/>
        <s v="Clint Robbins"/>
        <s v="Jason Fish"/>
        <s v="Molly Shoichet"/>
        <s v="Julie Lefebvre"/>
        <s v="Valerie Wallace"/>
        <s v="Derek van der Kooy"/>
        <s v="Axel Guenther"/>
        <s v="Sonya MacParland"/>
        <s v="Shinichiro Ogawa"/>
        <s v="Christine Bear"/>
        <s v="Ian McGilvray"/>
        <s v="Phyllis Billia"/>
        <s v="Mathieu Lupien"/>
        <s v="Philip Awadalla"/>
        <s v="Steven Chan"/>
        <s v="John Dick"/>
        <s v="Sagi Abelson"/>
        <s v="Tom Waddell"/>
        <s v="Shaf Keshavjee"/>
        <s v="Cristina Amon"/>
        <s v="Aimy Bazylak"/>
        <s v="Marcelo Cypel"/>
        <s v="Jeff Wrana"/>
        <s v="Liliana Attisano"/>
        <s v="Laurence Pelletier"/>
        <s v="Juan Carlos Zúñiga-Pflücker"/>
        <s v="Andras Nagy"/>
        <s v="Naoto Hirano"/>
        <s v="Tracy McGaha"/>
        <s v="Sara Vasconcelos"/>
        <s v="Michael Sefton"/>
        <s v="Omar Khan"/>
        <s v="Julien Muffat"/>
        <s v="Michael Garton"/>
        <s v="Hyun (Kate) Lee"/>
        <s v="Amy Wong"/>
        <s v="Philip Sherman"/>
        <s v="Agostino Pierro"/>
        <s v="William Navarre"/>
        <s v="Jason Maynes"/>
        <s v="John Parkinson"/>
        <s v="Lincoln Stein"/>
        <s v="Courtney Jones"/>
        <s v="Kristin Hope"/>
        <s v="Chao Wang"/>
        <s v="Christoph Licht"/>
      </sharedItems>
    </cacheField>
    <cacheField name="Description" numFmtId="0">
      <sharedItems/>
    </cacheField>
    <cacheField name="Location" numFmtId="0">
      <sharedItems/>
    </cacheField>
    <cacheField name="Start Date" numFmtId="0">
      <sharedItems containsNonDate="0" containsDate="1" containsString="0" containsBlank="1" minDate="2015-09-01T00:00:00" maxDate="2021-04-02T00:00:00"/>
    </cacheField>
    <cacheField name="End Date" numFmtId="0">
      <sharedItems containsNonDate="0" containsDate="1" containsString="0" containsBlank="1" minDate="2020-03-11T00:00:00" maxDate="2022-09-02T00:00:00"/>
    </cacheField>
    <cacheField name="Budget" numFmtId="164">
      <sharedItems containsSemiMixedTypes="0" containsString="0" containsNumber="1" minValue="-445000" maxValue="608571"/>
    </cacheField>
    <cacheField name="OH" numFmtId="164">
      <sharedItems containsSemiMixedTypes="0" containsString="0" containsNumber="1" minValue="-148318.5" maxValue="202836.7142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eryl Nash" refreshedDate="44988.583986226855" createdVersion="8" refreshedVersion="8" minRefreshableVersion="3" recordCount="164" xr:uid="{988B83D5-5D26-4FE7-9B69-B06F298D595B}">
  <cacheSource type="worksheet">
    <worksheetSource name="Table10"/>
  </cacheSource>
  <cacheFields count="10">
    <cacheField name="Fund #" numFmtId="0">
      <sharedItems containsSemiMixedTypes="0" containsString="0" containsNumber="1" containsInteger="1" minValue="499942" maxValue="513711"/>
    </cacheField>
    <cacheField name="FC #" numFmtId="0">
      <sharedItems containsSemiMixedTypes="0" containsString="0" containsNumber="1" containsInteger="1" minValue="107525" maxValue="214504"/>
    </cacheField>
    <cacheField name="Program Name" numFmtId="0">
      <sharedItems count="14">
        <s v="MbD Operations &amp; Outreach"/>
        <s v="MbD New Ideas"/>
        <s v="New Hire Faculty Support"/>
        <s v="MbD PDF Fellowship"/>
        <s v="MbD Cycle 2"/>
        <s v="MbD Seed Fund"/>
        <s v="MbD Grand Questions"/>
        <s v="MbD Special Projects"/>
        <s v="MbD Pivotal Experiment Fund"/>
        <s v="MbD Associate Support (Lab expenses)" u="1"/>
        <s v="MbD Executive Director Stipend" u="1"/>
        <s v="MbD Associate Support (PI salary support)" u="1"/>
        <s v="MbD Executive Director Operational budget" u="1"/>
        <s v="MbD New Hire Faculty Support" u="1"/>
      </sharedItems>
    </cacheField>
    <cacheField name="PI Full Name" numFmtId="0">
      <sharedItems/>
    </cacheField>
    <cacheField name="Description" numFmtId="0">
      <sharedItems/>
    </cacheField>
    <cacheField name="Location" numFmtId="0">
      <sharedItems/>
    </cacheField>
    <cacheField name="Start Date" numFmtId="14">
      <sharedItems containsSemiMixedTypes="0" containsNonDate="0" containsDate="1" containsString="0" minDate="2015-09-01T00:00:00" maxDate="2022-01-02T00:00:00"/>
    </cacheField>
    <cacheField name="End Date" numFmtId="14">
      <sharedItems containsSemiMixedTypes="0" containsNonDate="0" containsDate="1" containsString="0" minDate="2021-06-30T00:00:00" maxDate="2023-09-02T00:00:00"/>
    </cacheField>
    <cacheField name="Budget" numFmtId="164">
      <sharedItems containsSemiMixedTypes="0" containsString="0" containsNumber="1" minValue="-153000" maxValue="1000000"/>
    </cacheField>
    <cacheField name="OH" numFmtId="164">
      <sharedItems containsSemiMixedTypes="0" containsString="0" containsNumber="1" minValue="-50994.9" maxValue="333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322.649082754629" createdVersion="8" refreshedVersion="8" minRefreshableVersion="3" recordCount="60" xr:uid="{6389CC56-F9CD-4E55-8B44-A32B964E102B}">
  <cacheSource type="worksheet">
    <worksheetSource ref="A1:J61" sheet="Final Table 2022-2023"/>
  </cacheSource>
  <cacheFields count="10">
    <cacheField name="Fund #" numFmtId="0">
      <sharedItems containsSemiMixedTypes="0" containsString="0" containsNumber="1" containsInteger="1" minValue="499942" maxValue="515776"/>
    </cacheField>
    <cacheField name="FC #" numFmtId="0">
      <sharedItems containsSemiMixedTypes="0" containsString="0" containsNumber="1" containsInteger="1" minValue="107525" maxValue="213207"/>
    </cacheField>
    <cacheField name="Program Name" numFmtId="0">
      <sharedItems count="7">
        <s v="MbD Grand Questions"/>
        <s v="MbD Operations &amp; Outreach"/>
        <s v="MbD Pivotal Experiment Fund"/>
        <s v="MbD Special Projects"/>
        <s v="New Hire Faculty Support"/>
        <s v="Special Projects" u="1"/>
        <s v="Pivotal" u="1"/>
      </sharedItems>
    </cacheField>
    <cacheField name="PI Full Name" numFmtId="0">
      <sharedItems/>
    </cacheField>
    <cacheField name="Location" numFmtId="0">
      <sharedItems/>
    </cacheField>
    <cacheField name="Description" numFmtId="0">
      <sharedItems containsBlank="1"/>
    </cacheField>
    <cacheField name="Start Date" numFmtId="14">
      <sharedItems containsSemiMixedTypes="0" containsNonDate="0" containsDate="1" containsString="0" minDate="2015-09-01T00:00:00" maxDate="2022-07-02T00:00:00"/>
    </cacheField>
    <cacheField name="End Date" numFmtId="0">
      <sharedItems containsDate="1" containsMixedTypes="1" minDate="2022-08-31T00:00:00" maxDate="2023-09-01T00:00:00"/>
    </cacheField>
    <cacheField name="Budget" numFmtId="44">
      <sharedItems containsSemiMixedTypes="0" containsString="0" containsNumber="1" minValue="-300000" maxValue="957957"/>
    </cacheField>
    <cacheField name="OH" numFmtId="44">
      <sharedItems containsSemiMixedTypes="0" containsString="0" containsNumber="1" minValue="-99990" maxValue="319287.0680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n v="499942"/>
    <n v="107525"/>
    <s v="499942,107525"/>
    <x v="0"/>
    <s v="Executive Director Funds: Operating"/>
    <x v="0"/>
    <s v="DIRECTOR"/>
    <s v="EXECUTIVE"/>
    <s v="DIRECTOR,EXECUTIVE"/>
    <s v="EXEC DIRECTOR FUNDS"/>
    <s v="Campus"/>
    <d v="2015-09-01T00:00:00"/>
    <d v="2022-03-31T00:00:00"/>
    <n v="900000"/>
    <n v="299970"/>
  </r>
  <r>
    <n v="500737"/>
    <n v="107525"/>
    <s v="500737,107525"/>
    <x v="0"/>
    <s v="Executive Director Funds: Scientific"/>
    <x v="0"/>
    <s v="DIRECTOR"/>
    <s v="EXECUTIVE"/>
    <s v="DIRECTOR,EXECUTIVE"/>
    <s v="EXEC DIRECTOR FUNDS"/>
    <s v="Campus"/>
    <d v="2015-09-01T00:00:00"/>
    <d v="2022-03-31T00:00:00"/>
    <n v="510000"/>
    <n v="169983"/>
  </r>
  <r>
    <n v="502319"/>
    <n v="208810"/>
    <s v="502319,208810"/>
    <x v="0"/>
    <s v="OMNI PDF"/>
    <x v="1"/>
    <s v="Valerie"/>
    <s v="Wallace"/>
    <s v="Valerie,Wallace"/>
    <s v="WALLACE V OMPDF-2017"/>
    <s v="UHN"/>
    <d v="2017-04-01T00:00:00"/>
    <d v="2020-03-31T00:00:00"/>
    <n v="25000"/>
    <n v="8332.5"/>
  </r>
  <r>
    <n v="502529"/>
    <n v="210089"/>
    <s v="502529,210089"/>
    <x v="0"/>
    <s v="PDF"/>
    <x v="1"/>
    <s v="Jeff"/>
    <s v="Wrana"/>
    <s v="Jeff,Wrana"/>
    <s v="WRANA J MPDF-2017-03"/>
    <s v="SHS"/>
    <d v="2017-04-01T00:00:00"/>
    <d v="2020-03-31T00:00:00"/>
    <n v="50000"/>
    <n v="16665"/>
  </r>
  <r>
    <n v="502531"/>
    <n v="208620"/>
    <s v="502531,208620"/>
    <x v="0"/>
    <s v="PDF"/>
    <x v="1"/>
    <s v="Daniel"/>
    <s v="Schramek"/>
    <s v="Daniel,Schramek"/>
    <s v="SCHRAMEK D MPDF-2017"/>
    <s v="SHS"/>
    <d v="2017-04-01T00:00:00"/>
    <d v="2020-03-31T00:00:00"/>
    <n v="50000"/>
    <n v="16665"/>
  </r>
  <r>
    <n v="502535"/>
    <n v="208616"/>
    <s v="502535,208616"/>
    <x v="0"/>
    <s v="PDF"/>
    <x v="1"/>
    <s v="Cristina"/>
    <s v="Nostro"/>
    <s v="Cristina,Nostro"/>
    <s v="NOSTRO C MPDF-2017-02"/>
    <s v="UHN"/>
    <d v="2017-12-01T00:00:00"/>
    <d v="2020-12-31T00:00:00"/>
    <n v="50000"/>
    <n v="16665"/>
  </r>
  <r>
    <n v="502553"/>
    <n v="203770"/>
    <s v="502553,203770"/>
    <x v="0"/>
    <s v="PDF"/>
    <x v="1"/>
    <s v="Peter"/>
    <s v="Zandstra"/>
    <s v="Peter,Zandstra"/>
    <s v="ZANDSTRA P MPDF-2017"/>
    <s v="Campus"/>
    <d v="2017-04-01T00:00:00"/>
    <d v="2020-03-31T00:00:00"/>
    <n v="50000"/>
    <n v="16665"/>
  </r>
  <r>
    <n v="504320"/>
    <n v="205554"/>
    <s v="504320,205554"/>
    <x v="0"/>
    <s v="PDF"/>
    <x v="1"/>
    <s v="Craig"/>
    <s v="Simmons"/>
    <s v="Craig,Simmons"/>
    <s v="SIMMONS, CRAIG  - MPDF 2018"/>
    <s v="Campus"/>
    <d v="2018-05-01T00:00:00"/>
    <d v="2021-03-31T00:00:00"/>
    <n v="50000"/>
    <n v="16665"/>
  </r>
  <r>
    <n v="504321"/>
    <n v="205839"/>
    <s v="504321,205839"/>
    <x v="0"/>
    <s v="PDF"/>
    <x v="1"/>
    <s v="Aaron"/>
    <s v="Wheeler"/>
    <s v="Aaron,Wheeler"/>
    <s v="WHEELER, AARON  - MPDF 2018"/>
    <s v="Campus"/>
    <d v="2018-04-01T00:00:00"/>
    <d v="2021-03-31T00:00:00"/>
    <n v="50000"/>
    <n v="16665"/>
  </r>
  <r>
    <n v="504322"/>
    <n v="205839"/>
    <s v="504322,205839"/>
    <x v="0"/>
    <s v="PDF"/>
    <x v="1"/>
    <s v="Aaron"/>
    <s v="Wheeler"/>
    <s v="Aaron,Wheeler"/>
    <s v="KIM, TAE-HEE - MPDF 2018"/>
    <s v="HSC"/>
    <d v="2018-05-01T00:00:00"/>
    <d v="2021-07-31T00:00:00"/>
    <n v="50000"/>
    <n v="16665"/>
  </r>
  <r>
    <n v="504334"/>
    <n v="202019"/>
    <s v="504334,202019"/>
    <x v="0"/>
    <s v="New Ideas"/>
    <x v="2"/>
    <s v="Paul"/>
    <s v="Santerre"/>
    <s v="Paul,Santerre"/>
    <s v="SANTERRE, PAUL   - MBDNI"/>
    <s v="Campus"/>
    <d v="2018-04-01T00:00:00"/>
    <d v="2020-03-31T00:00:00"/>
    <n v="100000"/>
    <n v="33330"/>
  </r>
  <r>
    <n v="504335"/>
    <n v="203820"/>
    <s v="504335,203820"/>
    <x v="0"/>
    <s v="New Ideas"/>
    <x v="2"/>
    <s v="Cindi"/>
    <s v="Morshead"/>
    <s v="Cindi,Morshead"/>
    <s v="MORSHEAD, CINDI - MBDNI 2018"/>
    <s v="Campus"/>
    <d v="2018-04-01T00:00:00"/>
    <d v="2020-08-01T00:00:00"/>
    <n v="41859"/>
    <n v="13951.6047"/>
  </r>
  <r>
    <n v="504335"/>
    <n v="208897"/>
    <s v="504335,208897"/>
    <x v="0"/>
    <s v="New Ideas"/>
    <x v="2"/>
    <s v="Maryam"/>
    <s v="Faiz"/>
    <s v="Maryam,Faiz"/>
    <s v="FAIZ, MARYAM - MBDNI 2018  "/>
    <s v="Campus"/>
    <d v="2018-04-01T00:00:00"/>
    <d v="2020-08-01T00:00:00"/>
    <n v="58135"/>
    <n v="19376.395499999999"/>
  </r>
  <r>
    <n v="504337"/>
    <n v="205592"/>
    <s v="504337,205592"/>
    <x v="0"/>
    <s v="New Ideas"/>
    <x v="2"/>
    <s v="Melanie"/>
    <s v="Woodin"/>
    <s v="Melanie,Woodin"/>
    <s v="WOODIN, MELANIE  - MBDNI 2018"/>
    <s v="Campus"/>
    <d v="2018-04-01T00:00:00"/>
    <d v="2020-09-30T00:00:00"/>
    <n v="74230"/>
    <n v="24740.859"/>
  </r>
  <r>
    <n v="504337"/>
    <n v="211478"/>
    <s v="504337,211478"/>
    <x v="0"/>
    <s v="New Ideas"/>
    <x v="2"/>
    <s v="Janice"/>
    <s v="Robertson"/>
    <s v="Janice,Robertson"/>
    <s v="ROBERTSON, JANI   - MBDNI 2018 "/>
    <s v="Campus"/>
    <d v="2018-04-01T00:00:00"/>
    <d v="2020-09-30T00:00:00"/>
    <n v="24370"/>
    <n v="8122.5209999999997"/>
  </r>
  <r>
    <n v="504344"/>
    <n v="211218"/>
    <s v="504344,211218"/>
    <x v="0"/>
    <s v="New Ideas"/>
    <x v="2"/>
    <s v="Howard"/>
    <s v="Leong-Poi"/>
    <s v="Howard,Leong-Poi"/>
    <s v="HOWARD LEONG-POI "/>
    <s v="SMH"/>
    <d v="2018-04-01T00:00:00"/>
    <d v="2020-03-31T00:00:00"/>
    <n v="14227"/>
    <n v="4741.8590999999997"/>
  </r>
  <r>
    <n v="504344"/>
    <n v="211456"/>
    <s v="504344,211456"/>
    <x v="0"/>
    <s v="New Ideas"/>
    <x v="2"/>
    <s v="Jane"/>
    <s v="Batt"/>
    <s v="Jane,Batt"/>
    <s v=" BATT, JANE - MBDNI 2018 "/>
    <s v="SMH"/>
    <d v="2018-04-01T00:00:00"/>
    <d v="2020-03-31T00:00:00"/>
    <n v="85210"/>
    <n v="28400.492999999999"/>
  </r>
  <r>
    <n v="504839"/>
    <n v="209210"/>
    <s v="504839,209210"/>
    <x v="0"/>
    <s v="Faculty Support"/>
    <x v="3"/>
    <s v="Yun"/>
    <s v="LI"/>
    <s v="Yun,LI"/>
    <s v="LI, Y LAB"/>
    <s v="HSC"/>
    <d v="2017-12-01T00:00:00"/>
    <d v="2021-11-30T00:00:00"/>
    <n v="154500"/>
    <n v="51494.85"/>
  </r>
  <r>
    <n v="504875"/>
    <n v="209210"/>
    <s v="504875,209210"/>
    <x v="0"/>
    <s v="Faculty Support"/>
    <x v="3"/>
    <s v="Yun"/>
    <s v="LI"/>
    <s v="Yun,LI"/>
    <s v="LI, Y PI SALARY "/>
    <s v="HSC"/>
    <d v="2017-12-01T00:00:00"/>
    <d v="2021-11-30T00:00:00"/>
    <n v="710760"/>
    <n v="236896.30799999999"/>
  </r>
  <r>
    <n v="504878"/>
    <n v="209194"/>
    <s v="504878,209194"/>
    <x v="0"/>
    <s v="Faculty Support"/>
    <x v="3"/>
    <s v="Hyun (Kate)"/>
    <s v="Lee"/>
    <s v="Hyun (Kate),Lee"/>
    <s v="LEE, H CFREF 2018"/>
    <s v="Campus"/>
    <d v="2018-04-01T00:00:00"/>
    <d v="2020-03-31T00:00:00"/>
    <n v="55600"/>
    <n v="18531.48"/>
  </r>
  <r>
    <n v="505062"/>
    <n v="206247"/>
    <s v="505062,206247"/>
    <x v="0"/>
    <s v="PDF"/>
    <x v="1"/>
    <s v="Patrick"/>
    <s v="Gunning"/>
    <s v="Patrick,Gunning"/>
    <s v="GUNNING, PATRICK"/>
    <s v="Campus"/>
    <d v="2018-04-01T00:00:00"/>
    <d v="2019-09-20T00:00:00"/>
    <n v="34488.5"/>
    <n v="11495.01705"/>
  </r>
  <r>
    <n v="505082"/>
    <n v="212504"/>
    <s v="505082,212504"/>
    <x v="0"/>
    <s v="PDF"/>
    <x v="1"/>
    <s v="Freda"/>
    <s v="Miller"/>
    <s v="Freda,Miller"/>
    <s v="MILLER, FREDA"/>
    <s v="HSC"/>
    <d v="2018-04-01T00:00:00"/>
    <d v="2021-03-31T00:00:00"/>
    <n v="50000"/>
    <n v="16665"/>
  </r>
  <r>
    <n v="505362"/>
    <n v="209346"/>
    <s v="505362,209346"/>
    <x v="0"/>
    <s v="Faculty Support"/>
    <x v="3"/>
    <s v="Sarah"/>
    <s v="Crome"/>
    <s v="Sarah,Crome"/>
    <s v="CROME, SARAH - Faculty Support"/>
    <s v="UHN"/>
    <d v="2018-07-01T00:00:00"/>
    <d v="2021-06-30T00:00:00"/>
    <n v="150000"/>
    <n v="49995"/>
  </r>
  <r>
    <n v="505749"/>
    <n v="209403"/>
    <s v="505749,209403"/>
    <x v="0"/>
    <s v="Faculty Support"/>
    <x v="3"/>
    <s v="Stephanie"/>
    <s v="Protze"/>
    <s v="Stephanie,Protze"/>
    <s v="PROTZE, STEPHANIE - Faculty Support"/>
    <s v="UHN"/>
    <d v="2018-08-01T00:00:00"/>
    <d v="2021-07-31T00:00:00"/>
    <n v="250000"/>
    <n v="83325"/>
  </r>
  <r>
    <n v="506448"/>
    <n v="208217"/>
    <s v="506448,208217"/>
    <x v="0"/>
    <s v="PDF"/>
    <x v="1"/>
    <s v="Mikko"/>
    <s v="Taipale"/>
    <s v="Mikko,Taipale"/>
    <s v="TAIPALE MIKKO"/>
    <s v="Campus"/>
    <d v="2019-04-01T00:00:00"/>
    <d v="2021-03-31T00:00:00"/>
    <n v="50000"/>
    <n v="16665"/>
  </r>
  <r>
    <n v="506449"/>
    <n v="203820"/>
    <s v="506449,203820"/>
    <x v="0"/>
    <s v="PDF"/>
    <x v="1"/>
    <s v="Cindi"/>
    <s v="Morshead"/>
    <s v="Cindi,Morshead"/>
    <s v="MORSHEAD CINDI"/>
    <s v="Campus"/>
    <d v="2019-04-01T00:00:00"/>
    <d v="2021-03-31T00:00:00"/>
    <n v="50000"/>
    <n v="16665"/>
  </r>
  <r>
    <n v="506450"/>
    <n v="208620"/>
    <s v="506450,208620"/>
    <x v="0"/>
    <s v="PDF"/>
    <x v="1"/>
    <s v="Daniel"/>
    <s v="Schramek"/>
    <s v="Daniel,Schramek"/>
    <s v="SCHRAMEK DANIEL"/>
    <s v="SHS"/>
    <d v="2019-04-01T00:00:00"/>
    <d v="2022-03-31T00:00:00"/>
    <n v="50000"/>
    <n v="16665"/>
  </r>
  <r>
    <n v="506451"/>
    <n v="207233"/>
    <s v="506451,207233"/>
    <x v="0"/>
    <s v="PDF"/>
    <x v="1"/>
    <s v="Penney"/>
    <s v="Gilbert"/>
    <s v="Penney,Gilbert"/>
    <s v="GILBERT PENNEY"/>
    <s v="Campus"/>
    <d v="2019-04-01T00:00:00"/>
    <d v="2022-03-31T00:00:00"/>
    <n v="50000"/>
    <n v="16665"/>
  </r>
  <r>
    <n v="506456"/>
    <n v="207032"/>
    <s v="506456,207032"/>
    <x v="0"/>
    <s v="New Ideas"/>
    <x v="2"/>
    <s v="Bebhinn"/>
    <s v="Treanor"/>
    <s v="Bebhinn,Treanor"/>
    <s v="TREANOR, BEBHINN LUCY"/>
    <s v="Campus"/>
    <d v="2019-04-01T00:00:00"/>
    <d v="2021-12-31T00:00:00"/>
    <n v="50000"/>
    <n v="16665"/>
  </r>
  <r>
    <n v="506456"/>
    <n v="209438"/>
    <s v="506456,209438"/>
    <x v="0"/>
    <s v="New Ideas"/>
    <x v="2"/>
    <s v="Leo"/>
    <s v="Chou"/>
    <s v="Leo,Chou"/>
    <s v="CHOU, LEO"/>
    <s v="Campus"/>
    <d v="2019-04-01T00:00:00"/>
    <d v="2021-12-31T00:00:00"/>
    <n v="50000"/>
    <n v="16665"/>
  </r>
  <r>
    <n v="506457"/>
    <n v="208406"/>
    <s v="506457,208406"/>
    <x v="0"/>
    <s v="New Ideas"/>
    <x v="2"/>
    <s v="Robert"/>
    <s v="Hamilton"/>
    <s v="Robert,Hamilton"/>
    <s v="HAMILTON, ROBERT"/>
    <s v="HSC"/>
    <d v="2019-04-01T00:00:00"/>
    <d v="2021-06-30T00:00:00"/>
    <n v="25000"/>
    <n v="8332.5"/>
  </r>
  <r>
    <n v="506457"/>
    <n v="212361"/>
    <s v="506457,212361"/>
    <x v="0"/>
    <s v="New Ideas"/>
    <x v="2"/>
    <s v="Sachdev"/>
    <s v="Sidhu"/>
    <s v="Sachdev,Sidhu"/>
    <s v="SIDHU, SACHDEV"/>
    <s v="Campus"/>
    <d v="2019-04-01T00:00:00"/>
    <d v="2021-06-30T00:00:00"/>
    <n v="75000"/>
    <n v="24997.5"/>
  </r>
  <r>
    <n v="506458"/>
    <n v="205547"/>
    <s v="506458,205547"/>
    <x v="0"/>
    <s v="New Ideas"/>
    <x v="2"/>
    <s v="Yu"/>
    <s v="Sun"/>
    <s v="Yu,Sun"/>
    <s v="SUN, YU"/>
    <s v="Campus"/>
    <d v="2019-04-01T00:00:00"/>
    <d v="2021-06-30T00:00:00"/>
    <n v="26980"/>
    <n v="8992.4339999999993"/>
  </r>
  <r>
    <n v="506458"/>
    <n v="212183"/>
    <s v="506458,212183"/>
    <x v="0"/>
    <s v="New Ideas"/>
    <x v="2"/>
    <s v="Sevan"/>
    <s v="Hopyan"/>
    <s v="Sevan,Hopyan"/>
    <s v="HOPYAN, SEVAN"/>
    <s v="HSC"/>
    <d v="2019-04-01T00:00:00"/>
    <d v="2021-06-30T00:00:00"/>
    <n v="71385"/>
    <n v="23792.620499999997"/>
  </r>
  <r>
    <n v="506459"/>
    <n v="205993"/>
    <s v="506459,205993"/>
    <x v="0"/>
    <s v="New Ideas"/>
    <x v="2"/>
    <s v="Radhakrishnan"/>
    <s v="Mahadevan"/>
    <s v="Radhakrishnan,Mahadevan"/>
    <s v="MAHADEVAN, RADHAKRISHNAN"/>
    <s v="Campus"/>
    <d v="2019-04-01T00:00:00"/>
    <d v="2021-06-30T00:00:00"/>
    <n v="36000"/>
    <n v="11998.8"/>
  </r>
  <r>
    <n v="506459"/>
    <n v="208379"/>
    <s v="506459,208379"/>
    <x v="0"/>
    <s v="New Ideas"/>
    <x v="2"/>
    <s v="Keith"/>
    <s v="Pardee"/>
    <s v="Keith,Pardee"/>
    <s v="PARDEE, KEITH"/>
    <s v="Campus"/>
    <d v="2019-04-01T00:00:00"/>
    <d v="2021-06-30T00:00:00"/>
    <n v="46500"/>
    <n v="15498.449999999999"/>
  </r>
  <r>
    <n v="506459"/>
    <n v="208617"/>
    <s v="506459,208617"/>
    <x v="0"/>
    <s v="New Ideas"/>
    <x v="2"/>
    <s v="Tae-Hee"/>
    <s v="Kim"/>
    <s v="Tae-Hee,Kim"/>
    <s v="KIM, TAE-HEE"/>
    <s v="HSC"/>
    <d v="2019-04-01T00:00:00"/>
    <d v="2021-06-30T00:00:00"/>
    <n v="30000"/>
    <n v="9999"/>
  </r>
  <r>
    <n v="506472"/>
    <n v="200011"/>
    <s v="506472,200011"/>
    <x v="0"/>
    <s v="New Ideas"/>
    <x v="2"/>
    <s v="Cathy"/>
    <s v="Barr"/>
    <s v="Cathy,Barr"/>
    <s v="BARR, CATHY"/>
    <s v="UHN"/>
    <d v="2019-04-01T00:00:00"/>
    <d v="2020-03-31T00:00:00"/>
    <n v="41091"/>
    <n v="13695.630299999999"/>
  </r>
  <r>
    <n v="506472"/>
    <n v="200612"/>
    <s v="506472,200612"/>
    <x v="0"/>
    <s v="New Ideas"/>
    <x v="2"/>
    <s v="Peter"/>
    <s v="Carlen"/>
    <s v="Peter,Carlen"/>
    <s v="CARLEN, PETER"/>
    <s v="UHN"/>
    <d v="2019-04-01T00:00:00"/>
    <d v="2020-03-31T00:00:00"/>
    <n v="21934"/>
    <n v="7310.6021999999994"/>
  </r>
  <r>
    <n v="506472"/>
    <n v="211172"/>
    <s v="506472,211172"/>
    <x v="0"/>
    <s v="New Ideas"/>
    <x v="2"/>
    <s v="Roman"/>
    <s v="Gevov"/>
    <s v="Roman,Gevov"/>
    <s v="GENOV, ROMAN"/>
    <s v="Campus"/>
    <d v="2019-04-01T00:00:00"/>
    <d v="2020-03-31T00:00:00"/>
    <n v="11975"/>
    <n v="3991.2674999999999"/>
  </r>
  <r>
    <n v="506473"/>
    <n v="209346"/>
    <s v="506473,209346"/>
    <x v="0"/>
    <s v="New Ideas"/>
    <x v="2"/>
    <s v="Sarah"/>
    <s v="Crome"/>
    <s v="Sarah,Crome"/>
    <s v="CROME, SARAH"/>
    <s v="UHN"/>
    <d v="2019-04-01T00:00:00"/>
    <d v="2020-03-31T00:00:00"/>
    <n v="75000"/>
    <n v="24997.5"/>
  </r>
  <r>
    <n v="506475"/>
    <n v="208636"/>
    <s v="506475,208636"/>
    <x v="0"/>
    <s v="New Ideas"/>
    <x v="2"/>
    <s v="Alain"/>
    <s v="Dabdoub"/>
    <s v="Alain,Dabdoub"/>
    <s v="DABDOUB, ALAIN"/>
    <s v="SRI"/>
    <d v="2019-04-01T00:00:00"/>
    <d v="2020-03-31T00:00:00"/>
    <n v="75000"/>
    <n v="24997.5"/>
  </r>
  <r>
    <n v="506485"/>
    <n v="205554"/>
    <s v="506485,205554"/>
    <x v="0"/>
    <s v="EMHSeed"/>
    <x v="4"/>
    <s v="Craig"/>
    <s v="Simmons"/>
    <s v="Craig,Simmons"/>
    <s v="SIMMONS, CRAIG"/>
    <s v="Campus"/>
    <d v="2019-01-01T00:00:00"/>
    <d v="2021-05-31T00:00:00"/>
    <n v="10000"/>
    <n v="3333"/>
  </r>
  <r>
    <n v="506485"/>
    <n v="209461"/>
    <s v="506485,209461"/>
    <x v="0"/>
    <s v="EMHSeed"/>
    <x v="4"/>
    <s v="Jennifer"/>
    <s v="Chung"/>
    <s v="Jennifer,Chung"/>
    <s v="CHUNG, JENNIFER"/>
    <s v="UHN"/>
    <d v="2019-01-01T00:00:00"/>
    <d v="2021-05-31T00:00:00"/>
    <n v="15000"/>
    <n v="4999.5"/>
  </r>
  <r>
    <n v="506682"/>
    <n v="213061"/>
    <s v="506682,213061"/>
    <x v="0"/>
    <s v="New Ideas"/>
    <x v="2"/>
    <s v="Miguel"/>
    <s v="Ramalho-Santos"/>
    <s v="Miguel,Ramalho-Santos"/>
    <s v="RAMALO-SANTOS, MIGUEL"/>
    <s v="SHS"/>
    <d v="2019-04-01T00:00:00"/>
    <d v="2020-03-31T00:00:00"/>
    <n v="75000"/>
    <n v="24997.5"/>
  </r>
  <r>
    <n v="506754"/>
    <n v="203770"/>
    <s v="506754,203770"/>
    <x v="0"/>
    <s v="New Ideas"/>
    <x v="2"/>
    <s v="Peter"/>
    <s v="Zandstra"/>
    <s v="Peter,Zandstra"/>
    <s v="ZANDSTRA, PETER"/>
    <s v="UBC"/>
    <d v="2019-04-01T00:00:00"/>
    <d v="2020-03-31T00:00:00"/>
    <n v="37500"/>
    <n v="12498.75"/>
  </r>
  <r>
    <n v="506754"/>
    <n v="207378"/>
    <s v="506754,207378"/>
    <x v="0"/>
    <s v="New Ideas"/>
    <x v="2"/>
    <s v="Angela"/>
    <s v="Schoellig"/>
    <s v="Angela,Schoellig"/>
    <s v="SCHOELLIG, ANGELA"/>
    <s v="Campus"/>
    <d v="2019-04-01T00:00:00"/>
    <d v="2020-03-31T00:00:00"/>
    <n v="37500"/>
    <n v="12498.75"/>
  </r>
  <r>
    <n v="507637"/>
    <n v="206014"/>
    <s v="507637,206014"/>
    <x v="0"/>
    <s v="Cycle 2 "/>
    <x v="5"/>
    <s v="Anthony"/>
    <s v="Gramolini"/>
    <s v="Anthony,Gramolini"/>
    <s v="Anthony Gramolini"/>
    <s v="Campus"/>
    <d v="2019-09-01T00:00:00"/>
    <d v="2021-11-30T00:00:00"/>
    <n v="40800"/>
    <n v="13598.64"/>
  </r>
  <r>
    <n v="507637"/>
    <n v="207636"/>
    <s v="507637,207636"/>
    <x v="0"/>
    <s v="Cycle 2 "/>
    <x v="5"/>
    <s v="Hai-Ling"/>
    <s v="Cheng"/>
    <s v="Hai-Ling,Cheng"/>
    <s v="Hai-Ling Margaret Cheng"/>
    <s v="Campus"/>
    <d v="2019-09-01T00:00:00"/>
    <d v="2021-11-30T00:00:00"/>
    <n v="85000"/>
    <n v="28330.5"/>
  </r>
  <r>
    <n v="507637"/>
    <n v="208625"/>
    <s v="507637,208625"/>
    <x v="0"/>
    <s v="Cycle 2 "/>
    <x v="5"/>
    <s v="Slava"/>
    <s v="Epelman"/>
    <s v="Slava,Epelman"/>
    <s v="Slava Epelman"/>
    <s v="UHN"/>
    <d v="2019-09-01T00:00:00"/>
    <d v="2021-11-30T00:00:00"/>
    <n v="63750"/>
    <n v="21247.875"/>
  </r>
  <r>
    <n v="507637"/>
    <n v="208728"/>
    <s v="507637,208728"/>
    <x v="0"/>
    <s v="Cycle 2 "/>
    <x v="5"/>
    <s v="Michael"/>
    <s v="Laflamme"/>
    <s v="Michael,Laflamme"/>
    <s v="Michael LaFlamme"/>
    <s v="UHN"/>
    <d v="2019-09-01T00:00:00"/>
    <d v="2021-11-30T00:00:00"/>
    <n v="378100"/>
    <n v="126020.73"/>
  </r>
  <r>
    <n v="507637"/>
    <n v="209491"/>
    <s v="507637,209491"/>
    <x v="0"/>
    <s v="Cycle 2 "/>
    <x v="5"/>
    <s v="Nilesh"/>
    <s v="Ghurgre"/>
    <s v="Nilesh,Ghurgre"/>
    <s v="Nilesh R. Ghugre"/>
    <s v="SRI"/>
    <d v="2019-09-01T00:00:00"/>
    <d v="2021-11-30T00:00:00"/>
    <n v="153000"/>
    <n v="50994.899999999994"/>
  </r>
  <r>
    <n v="507637"/>
    <n v="209660"/>
    <s v="507637,209660"/>
    <x v="0"/>
    <s v="Cycle 2 "/>
    <x v="5"/>
    <s v="Mark"/>
    <s v="Friedberg"/>
    <s v="Mark,Friedberg"/>
    <s v="Mark Friedberg"/>
    <s v="HSC"/>
    <d v="2019-09-01T00:00:00"/>
    <d v="2021-11-30T00:00:00"/>
    <n v="74800"/>
    <n v="24930.84"/>
  </r>
  <r>
    <n v="507637"/>
    <n v="211152"/>
    <s v="507637,211152"/>
    <x v="0"/>
    <s v="Cycle 2 "/>
    <x v="5"/>
    <s v="Scott"/>
    <s v="Heximer"/>
    <s v="Scott,Heximer"/>
    <s v="Scott Heximer"/>
    <s v="Campus"/>
    <d v="2019-09-01T00:00:00"/>
    <d v="2021-11-30T00:00:00"/>
    <n v="40800"/>
    <n v="13598.64"/>
  </r>
  <r>
    <n v="507637"/>
    <n v="212636"/>
    <s v="507637,212636"/>
    <x v="0"/>
    <s v="Cycle 2 "/>
    <x v="5"/>
    <s v="Gordon"/>
    <s v="Keller"/>
    <s v="Gordon,Keller"/>
    <s v="Gordon Keller"/>
    <s v="UHN"/>
    <d v="2019-09-01T00:00:00"/>
    <d v="2021-11-30T00:00:00"/>
    <n v="63750"/>
    <n v="21247.875"/>
  </r>
  <r>
    <n v="507638"/>
    <n v="203770"/>
    <s v="507638,203770"/>
    <x v="0"/>
    <s v="Cycle 2 "/>
    <x v="5"/>
    <s v="Peter"/>
    <s v="Zandstra"/>
    <s v="Peter,Zandstra"/>
    <s v="Peter Zandstra"/>
    <s v="UBC"/>
    <d v="2019-09-01T00:00:00"/>
    <d v="2021-11-30T00:00:00"/>
    <n v="40000"/>
    <n v="13332"/>
  </r>
  <r>
    <n v="507638"/>
    <n v="203820"/>
    <s v="507638,203820"/>
    <x v="0"/>
    <s v="Cycle 2 "/>
    <x v="5"/>
    <s v="Cindi"/>
    <s v="Morshead"/>
    <s v="Cindi,Morshead"/>
    <s v="Cindi Morshead"/>
    <s v="Campus"/>
    <d v="2019-09-01T00:00:00"/>
    <d v="2021-11-30T00:00:00"/>
    <n v="30000"/>
    <n v="9999"/>
  </r>
  <r>
    <n v="507638"/>
    <n v="206595"/>
    <s v="507638,206595"/>
    <x v="0"/>
    <s v="Cycle 2 "/>
    <x v="5"/>
    <s v="Alison"/>
    <s v="McGuigan"/>
    <s v="Alison,McGuigan"/>
    <s v="Alison McGuigan"/>
    <s v="Campus"/>
    <d v="2019-09-01T00:00:00"/>
    <d v="2021-11-30T00:00:00"/>
    <n v="133750"/>
    <n v="44578.875"/>
  </r>
  <r>
    <n v="507638"/>
    <n v="207233"/>
    <s v="507638,207233"/>
    <x v="0"/>
    <s v="Cycle 2 "/>
    <x v="5"/>
    <s v="Penney"/>
    <s v="Gilbert"/>
    <s v="Penney,Gilbert"/>
    <s v="Penney Gilbert"/>
    <s v="Campus"/>
    <d v="2019-09-01T00:00:00"/>
    <d v="2021-11-30T00:00:00"/>
    <n v="133500"/>
    <n v="44495.549999999996"/>
  </r>
  <r>
    <n v="507638"/>
    <n v="207444"/>
    <s v="507638,207444"/>
    <x v="0"/>
    <s v="Cycle 2 "/>
    <x v="5"/>
    <s v="Sidhartha"/>
    <s v="Goyal"/>
    <s v="Sidhartha,Goyal"/>
    <s v="Sid Goyal"/>
    <s v="Campus"/>
    <d v="2019-09-01T00:00:00"/>
    <d v="2021-11-30T00:00:00"/>
    <n v="100000"/>
    <n v="33330"/>
  </r>
  <r>
    <n v="507638"/>
    <n v="209210"/>
    <s v="507638,209210"/>
    <x v="0"/>
    <s v="Cycle 2 "/>
    <x v="5"/>
    <s v="Yun"/>
    <s v="LI"/>
    <s v="Yun,LI"/>
    <s v="Yun Li"/>
    <s v="HSC"/>
    <d v="2019-09-01T00:00:00"/>
    <d v="2021-11-30T00:00:00"/>
    <n v="58000"/>
    <n v="19331.399999999998"/>
  </r>
  <r>
    <n v="507638"/>
    <n v="211256"/>
    <s v="507638,211256"/>
    <x v="0"/>
    <s v="Cycle 2 "/>
    <x v="5"/>
    <s v="David"/>
    <s v="Kaplan"/>
    <s v="David,Kaplan"/>
    <s v="David Kaplan"/>
    <s v="HSC"/>
    <d v="2019-09-01T00:00:00"/>
    <d v="2021-11-30T00:00:00"/>
    <n v="135000"/>
    <n v="44995.5"/>
  </r>
  <r>
    <n v="507638"/>
    <n v="211963"/>
    <s v="507638,211963"/>
    <x v="0"/>
    <s v="Cycle 2 "/>
    <x v="5"/>
    <s v="Gary"/>
    <s v="Bader"/>
    <s v="Gary,Bader"/>
    <s v="Gary Bader"/>
    <s v="Campus"/>
    <d v="2019-09-01T00:00:00"/>
    <d v="2021-11-30T00:00:00"/>
    <n v="133500"/>
    <n v="44495.549999999996"/>
  </r>
  <r>
    <n v="507638"/>
    <n v="212504"/>
    <s v="507638,212504"/>
    <x v="0"/>
    <s v="Cycle 2 "/>
    <x v="5"/>
    <s v="Freda"/>
    <s v="Miller"/>
    <s v="Freda,Miller"/>
    <s v="Freda Miller"/>
    <s v="HSC"/>
    <d v="2019-09-01T00:00:00"/>
    <d v="2021-11-30T00:00:00"/>
    <n v="133000"/>
    <n v="44328.9"/>
  </r>
  <r>
    <n v="507639"/>
    <n v="205839"/>
    <s v="507639,205839"/>
    <x v="0"/>
    <s v="Cycle 2 "/>
    <x v="5"/>
    <s v="Aaron"/>
    <s v="Wheeler"/>
    <s v="Aaron,Wheeler"/>
    <s v="Aaron Wheeler"/>
    <s v="Campus"/>
    <d v="2019-09-01T00:00:00"/>
    <d v="2021-11-30T00:00:00"/>
    <n v="40000"/>
    <n v="13332"/>
  </r>
  <r>
    <n v="507639"/>
    <n v="206147"/>
    <s v="507639,206147"/>
    <x v="0"/>
    <s v="Cycle 2 "/>
    <x v="5"/>
    <s v="Stephane"/>
    <s v="Angers"/>
    <s v="Stephane,Angers"/>
    <s v="Stephane Angers"/>
    <s v="Campus"/>
    <d v="2019-09-01T00:00:00"/>
    <d v="2021-11-30T00:00:00"/>
    <n v="240000"/>
    <n v="79992"/>
  </r>
  <r>
    <n v="507639"/>
    <n v="206205"/>
    <s v="507639,206205"/>
    <x v="0"/>
    <s v="Cycle 2 "/>
    <x v="5"/>
    <s v="Jason"/>
    <s v="Moffat"/>
    <s v="Jason,Moffat"/>
    <s v="Jason Moffat"/>
    <s v="Campus"/>
    <d v="2019-09-01T00:00:00"/>
    <d v="2021-11-30T00:00:00"/>
    <n v="240000"/>
    <n v="79992"/>
  </r>
  <r>
    <n v="507639"/>
    <n v="206595"/>
    <s v="507639,206595"/>
    <x v="0"/>
    <s v="Cycle 2 "/>
    <x v="5"/>
    <s v="Alison"/>
    <s v="McGuigan"/>
    <s v="Alison,McGuigan"/>
    <s v="Alison McGuigan"/>
    <s v="Campus"/>
    <d v="2019-09-01T00:00:00"/>
    <d v="2021-11-30T00:00:00"/>
    <n v="40000"/>
    <n v="13332"/>
  </r>
  <r>
    <n v="507639"/>
    <n v="208379"/>
    <s v="507639,208379"/>
    <x v="0"/>
    <s v="Cycle 2 "/>
    <x v="5"/>
    <s v="Keith"/>
    <s v="Pardee"/>
    <s v="Keith,Pardee"/>
    <s v="Keith Pardee"/>
    <s v="Campus"/>
    <d v="2019-09-01T00:00:00"/>
    <d v="2021-11-30T00:00:00"/>
    <n v="80000"/>
    <n v="26664"/>
  </r>
  <r>
    <n v="507639"/>
    <n v="210174"/>
    <s v="507639,210174"/>
    <x v="0"/>
    <s v="Cycle 2 "/>
    <x v="5"/>
    <s v="Ben"/>
    <s v="Blencowe"/>
    <s v="Ben,Blencowe"/>
    <s v="Ben Blencowe"/>
    <s v="Campus"/>
    <d v="2019-09-01T00:00:00"/>
    <d v="2021-11-30T00:00:00"/>
    <n v="80000"/>
    <n v="26664"/>
  </r>
  <r>
    <n v="507639"/>
    <n v="212065"/>
    <s v="507639,212065"/>
    <x v="0"/>
    <s v="Cycle 2 "/>
    <x v="5"/>
    <s v="Shana"/>
    <s v="Kelley"/>
    <s v="Shana,Kelley"/>
    <s v="Shana Kelley"/>
    <s v="Campus"/>
    <d v="2019-09-01T00:00:00"/>
    <d v="2021-11-30T00:00:00"/>
    <n v="240000"/>
    <n v="79992"/>
  </r>
  <r>
    <n v="507639"/>
    <n v="212361"/>
    <s v="507639,212361"/>
    <x v="0"/>
    <s v="Cycle 2 "/>
    <x v="5"/>
    <s v="Sachdev"/>
    <s v="Sidhu"/>
    <s v="Sachdev,Sidhu"/>
    <s v="Sachdev Sidhu"/>
    <s v="Campus"/>
    <d v="2019-09-01T00:00:00"/>
    <d v="2021-11-30T00:00:00"/>
    <n v="240000"/>
    <n v="79992"/>
  </r>
  <r>
    <n v="507641"/>
    <n v="203173"/>
    <s v="507641,203173"/>
    <x v="0"/>
    <s v="Cycle 2 "/>
    <x v="5"/>
    <s v="Isabelle"/>
    <s v="Aubert"/>
    <s v="Isabelle,Aubert"/>
    <s v="Isabelle Aubert"/>
    <s v="SRI"/>
    <d v="2019-09-01T00:00:00"/>
    <d v="2021-11-30T00:00:00"/>
    <n v="61955"/>
    <n v="20649.601500000001"/>
  </r>
  <r>
    <n v="507641"/>
    <n v="203820"/>
    <s v="507641,203820"/>
    <x v="0"/>
    <s v="Cycle 2 "/>
    <x v="5"/>
    <s v="Cindi"/>
    <s v="Morshead"/>
    <s v="Cindi,Morshead"/>
    <s v="Cindi Morshead"/>
    <s v="Campus"/>
    <d v="2019-09-01T00:00:00"/>
    <d v="2021-11-30T00:00:00"/>
    <n v="106415"/>
    <n v="35468.119500000001"/>
  </r>
  <r>
    <n v="507641"/>
    <n v="205592"/>
    <s v="507641,205592"/>
    <x v="0"/>
    <s v="Cycle 2 "/>
    <x v="5"/>
    <s v="Melanie"/>
    <s v="Woodin"/>
    <s v="Melanie,Woodin"/>
    <s v="Melanie Woodin"/>
    <s v="Campus"/>
    <d v="2019-09-01T00:00:00"/>
    <d v="2021-11-30T00:00:00"/>
    <n v="32000"/>
    <n v="10665.6"/>
  </r>
  <r>
    <n v="507641"/>
    <n v="208897"/>
    <s v="507641,208897"/>
    <x v="0"/>
    <s v="Cycle 2 "/>
    <x v="5"/>
    <s v="Maryam"/>
    <s v="Faiz"/>
    <s v="Maryam,Faiz"/>
    <s v="Maryam Faiz"/>
    <s v="Campus"/>
    <d v="2019-09-01T00:00:00"/>
    <d v="2021-11-30T00:00:00"/>
    <n v="73925"/>
    <n v="24639.202499999999"/>
  </r>
  <r>
    <n v="507641"/>
    <n v="208934"/>
    <s v="507641,208934"/>
    <x v="0"/>
    <s v="Cycle 2 "/>
    <x v="5"/>
    <s v="Carol"/>
    <s v="Schuurmans"/>
    <s v="Carol,Schuurmans"/>
    <s v="Carol Shuurmans"/>
    <s v="SRI"/>
    <d v="2019-09-01T00:00:00"/>
    <d v="2021-11-30T00:00:00"/>
    <n v="58717"/>
    <n v="19570.376099999998"/>
  </r>
  <r>
    <n v="507642"/>
    <n v="200150"/>
    <s v="507642,200150"/>
    <x v="0"/>
    <s v="Cycle 2 "/>
    <x v="5"/>
    <s v="Myron"/>
    <s v="Cybulsky"/>
    <s v="Myron,Cybulsky"/>
    <s v="Myron Cybulsky"/>
    <s v="UHN"/>
    <d v="2019-09-01T00:00:00"/>
    <d v="2021-11-30T00:00:00"/>
    <n v="90000"/>
    <n v="29997"/>
  </r>
  <r>
    <n v="507642"/>
    <n v="208607"/>
    <s v="507642,208607"/>
    <x v="0"/>
    <s v="Cycle 2 "/>
    <x v="5"/>
    <s v="Clint"/>
    <s v="Robbins"/>
    <s v="Clint,Robbins"/>
    <s v="Clint Robbins"/>
    <s v="UHN"/>
    <d v="2019-09-01T00:00:00"/>
    <d v="2021-11-30T00:00:00"/>
    <n v="100000"/>
    <n v="33330"/>
  </r>
  <r>
    <n v="507642"/>
    <n v="212714"/>
    <s v="507642,212714"/>
    <x v="0"/>
    <s v="Cycle 2 "/>
    <x v="5"/>
    <s v="Jason"/>
    <s v="Fish"/>
    <s v="Jason,Fish"/>
    <s v="Jason Fish"/>
    <s v="UHN"/>
    <d v="2019-09-01T00:00:00"/>
    <d v="2021-11-30T00:00:00"/>
    <n v="90000"/>
    <n v="29997"/>
  </r>
  <r>
    <n v="507643"/>
    <n v="201921"/>
    <s v="507643,201921"/>
    <x v="0"/>
    <s v="Cycle 2 "/>
    <x v="5"/>
    <s v="Molly"/>
    <s v="Shoichet"/>
    <s v="Molly,Shoichet"/>
    <s v="Molly Shoichet"/>
    <s v="Campus"/>
    <d v="2019-09-01T00:00:00"/>
    <d v="2021-11-30T00:00:00"/>
    <n v="80000"/>
    <n v="26664"/>
  </r>
  <r>
    <n v="507643"/>
    <n v="208489"/>
    <s v="507643,208489"/>
    <x v="0"/>
    <s v="Cycle 2 "/>
    <x v="5"/>
    <s v="Julie"/>
    <s v="Lefebvre"/>
    <s v="Julie,Lefebvre"/>
    <s v="Julie Lefebvre"/>
    <s v="HSC"/>
    <d v="2019-09-01T00:00:00"/>
    <d v="2021-11-30T00:00:00"/>
    <n v="72000"/>
    <n v="23997.599999999999"/>
  </r>
  <r>
    <n v="507643"/>
    <n v="208810"/>
    <s v="507643,208810"/>
    <x v="0"/>
    <s v="Cycle 2 "/>
    <x v="5"/>
    <s v="Valerie"/>
    <s v="Wallace"/>
    <s v="Valerie,Wallace"/>
    <s v="Valerie Wallace"/>
    <s v="UHN"/>
    <d v="2019-09-01T00:00:00"/>
    <d v="2021-11-30T00:00:00"/>
    <n v="100000"/>
    <n v="33330"/>
  </r>
  <r>
    <n v="507643"/>
    <n v="211134"/>
    <s v="507643,211134"/>
    <x v="0"/>
    <s v="Cycle 2 "/>
    <x v="5"/>
    <s v="Derek"/>
    <s v="van der Kooy"/>
    <s v="Derek,van der Kooy"/>
    <s v="Derek van der Kooy"/>
    <s v="Campus"/>
    <d v="2019-09-01T00:00:00"/>
    <d v="2021-11-30T00:00:00"/>
    <n v="80000"/>
    <n v="26664"/>
  </r>
  <r>
    <n v="507693"/>
    <n v="201921"/>
    <s v="507693,201921"/>
    <x v="0"/>
    <s v="Cycle 2 "/>
    <x v="5"/>
    <s v="Molly"/>
    <s v="Shoichet"/>
    <s v="Molly,Shoichet"/>
    <s v="Molly Shoichet"/>
    <s v="Campus"/>
    <d v="2019-09-01T00:00:00"/>
    <d v="2021-11-30T00:00:00"/>
    <n v="66900"/>
    <n v="22297.77"/>
  </r>
  <r>
    <n v="507693"/>
    <n v="206130"/>
    <s v="507693,206130"/>
    <x v="0"/>
    <s v="Cycle 2 "/>
    <x v="5"/>
    <s v="Axel"/>
    <s v="Guenther"/>
    <s v="Axel,Guenther"/>
    <s v="Axel Guenther"/>
    <s v="Campus"/>
    <d v="2019-09-01T00:00:00"/>
    <d v="2021-11-30T00:00:00"/>
    <n v="100350"/>
    <n v="33446.654999999999"/>
  </r>
  <r>
    <n v="507693"/>
    <n v="209184"/>
    <s v="507693,209184"/>
    <x v="0"/>
    <s v="Cycle 2 "/>
    <x v="5"/>
    <s v="Sonya"/>
    <s v="MacParland"/>
    <s v="Sonya,MacParland"/>
    <s v="Sonya MacParland"/>
    <s v="UHN"/>
    <d v="2019-09-01T00:00:00"/>
    <d v="2021-11-30T00:00:00"/>
    <n v="108000"/>
    <n v="35996.400000000001"/>
  </r>
  <r>
    <n v="507693"/>
    <n v="209766"/>
    <s v="507693,209766"/>
    <x v="0"/>
    <s v="Cycle 2 "/>
    <x v="5"/>
    <s v="Shinichiro"/>
    <s v="Ogawa"/>
    <s v="Shinichiro,Ogawa"/>
    <s v="OGAWA, S MBDC2-2019-07"/>
    <s v="UHN"/>
    <d v="2019-09-01T00:00:00"/>
    <d v="2021-11-30T00:00:00"/>
    <n v="108123"/>
    <n v="36037.395899999996"/>
  </r>
  <r>
    <n v="507693"/>
    <n v="211063"/>
    <s v="507693,211063"/>
    <x v="0"/>
    <s v="Cycle 2 "/>
    <x v="5"/>
    <s v="Christine"/>
    <s v="Bear"/>
    <s v="Christine,Bear"/>
    <s v="Christine Bear"/>
    <s v="HSC"/>
    <d v="2019-09-01T00:00:00"/>
    <d v="2021-11-30T00:00:00"/>
    <n v="33450"/>
    <n v="11148.885"/>
  </r>
  <r>
    <n v="507693"/>
    <n v="211963"/>
    <s v="507693,211963"/>
    <x v="0"/>
    <s v="Cycle 2 "/>
    <x v="5"/>
    <s v="Gary"/>
    <s v="Bader"/>
    <s v="Gary,Bader"/>
    <s v="Gary Bader"/>
    <s v="Campus"/>
    <d v="2019-09-01T00:00:00"/>
    <d v="2021-11-30T00:00:00"/>
    <n v="33450"/>
    <n v="11148.885"/>
  </r>
  <r>
    <n v="507693"/>
    <n v="212636"/>
    <s v="507693,212636"/>
    <x v="0"/>
    <s v="Cycle 2 "/>
    <x v="5"/>
    <s v="Gordon"/>
    <s v="Keller"/>
    <s v="Gordon,Keller"/>
    <s v="Gordon Keller"/>
    <s v="UHN"/>
    <d v="2019-09-01T00:00:00"/>
    <d v="2021-11-30T00:00:00"/>
    <n v="108370"/>
    <n v="36119.720999999998"/>
  </r>
  <r>
    <n v="507693"/>
    <n v="212893"/>
    <s v="507693,212893"/>
    <x v="0"/>
    <s v="Cycle 2 "/>
    <x v="5"/>
    <s v="Ian"/>
    <s v="McGilvray"/>
    <s v="Ian,McGilvray"/>
    <s v="Ian McGilvray"/>
    <s v="UHN"/>
    <d v="2019-09-01T00:00:00"/>
    <d v="2021-11-30T00:00:00"/>
    <n v="108000"/>
    <n v="35996.400000000001"/>
  </r>
  <r>
    <n v="507776"/>
    <n v="208625"/>
    <s v="507776,208625"/>
    <x v="1"/>
    <s v="Cycle 2 "/>
    <x v="5"/>
    <s v="Slava"/>
    <s v="Epelman"/>
    <s v="Slava,Epelman"/>
    <s v="Slava Epelman"/>
    <s v="UHN"/>
    <d v="2019-09-01T00:00:00"/>
    <d v="2021-11-30T00:00:00"/>
    <n v="26667"/>
    <n v="8888.1111000000001"/>
  </r>
  <r>
    <n v="507776"/>
    <n v="208625"/>
    <s v="507776,208625"/>
    <x v="0"/>
    <s v="Cycle 2 "/>
    <x v="5"/>
    <s v="Slava"/>
    <s v="Epelman"/>
    <s v="Slava,Epelman"/>
    <s v="EPELMAN, S MBDC2-2019-08"/>
    <s v="UHN"/>
    <d v="2019-09-01T00:00:00"/>
    <d v="2021-11-30T00:00:00"/>
    <n v="56666"/>
    <n v="18886.7778"/>
  </r>
  <r>
    <n v="507776"/>
    <n v="208628"/>
    <s v="507776,208628"/>
    <x v="1"/>
    <s v="Cycle 2 "/>
    <x v="5"/>
    <s v="Phyllis"/>
    <s v="Billia"/>
    <s v="Phyllis,Billia"/>
    <s v="BILLIA"/>
    <s v="UHN"/>
    <d v="2019-09-01T00:00:00"/>
    <d v="2021-11-30T00:00:00"/>
    <n v="26666"/>
    <n v="8887.7777999999998"/>
  </r>
  <r>
    <n v="507776"/>
    <n v="208628"/>
    <s v="507776,208628"/>
    <x v="0"/>
    <s v="Cycle 2 "/>
    <x v="5"/>
    <s v="Phyllis"/>
    <s v="Billia"/>
    <s v="Phyllis,Billia"/>
    <s v="BILLIA, F MBCD2-2019-08"/>
    <s v="UHN"/>
    <d v="2019-09-01T00:00:00"/>
    <d v="2021-11-30T00:00:00"/>
    <n v="56668"/>
    <n v="18887.4444"/>
  </r>
  <r>
    <n v="507776"/>
    <n v="208808"/>
    <s v="507776,208808"/>
    <x v="1"/>
    <s v="Cycle 2 "/>
    <x v="5"/>
    <s v="Mathieu"/>
    <s v="Lupien"/>
    <s v="Mathieu,Lupien"/>
    <s v="Mathieu Lupien"/>
    <s v="UHN"/>
    <d v="2019-09-01T00:00:00"/>
    <d v="2021-11-30T00:00:00"/>
    <n v="22400"/>
    <n v="7465.92"/>
  </r>
  <r>
    <n v="507776"/>
    <n v="208808"/>
    <s v="507776,208808"/>
    <x v="0"/>
    <s v="Cycle 2 "/>
    <x v="5"/>
    <s v="Mathieu"/>
    <s v="Lupien"/>
    <s v="Mathieu,Lupien"/>
    <s v="LUPIEN, M MBDC2-2019-08 "/>
    <s v="UHN"/>
    <d v="2019-09-01T00:00:00"/>
    <d v="2021-11-30T00:00:00"/>
    <n v="47600"/>
    <n v="15865.08"/>
  </r>
  <r>
    <n v="507776"/>
    <n v="209476"/>
    <s v="507776,209476"/>
    <x v="1"/>
    <s v="Cycle 2 "/>
    <x v="5"/>
    <s v="Philip"/>
    <s v="Awadalla"/>
    <s v="Philip,Awadalla"/>
    <s v="Philip Awadalla"/>
    <s v="Campus"/>
    <d v="2019-09-01T00:00:00"/>
    <d v="2021-11-30T00:00:00"/>
    <n v="22400"/>
    <n v="7465.92"/>
  </r>
  <r>
    <n v="507776"/>
    <n v="209476"/>
    <s v="507776,209476"/>
    <x v="0"/>
    <s v="Cycle 2 "/>
    <x v="5"/>
    <s v="Philip"/>
    <s v="Awadalla"/>
    <s v="Philip,Awadalla"/>
    <s v="AWADALLA, P MBDC2-2019-08"/>
    <s v="Campus"/>
    <d v="2019-09-01T00:00:00"/>
    <d v="2021-11-30T00:00:00"/>
    <n v="47600"/>
    <n v="15865.08"/>
  </r>
  <r>
    <n v="507776"/>
    <n v="209711"/>
    <s v="507776,209711"/>
    <x v="1"/>
    <s v="Cycle 2 "/>
    <x v="5"/>
    <s v="Steven"/>
    <s v="Chan"/>
    <s v="Steven,Chan"/>
    <s v="Steven Chan"/>
    <s v="UHN"/>
    <d v="2019-09-01T00:00:00"/>
    <d v="2021-11-30T00:00:00"/>
    <n v="26667"/>
    <n v="8888.1111000000001"/>
  </r>
  <r>
    <n v="507776"/>
    <n v="209711"/>
    <s v="507776,209711"/>
    <x v="0"/>
    <s v="Cycle 2 "/>
    <x v="5"/>
    <s v="Steven"/>
    <s v="Chan"/>
    <s v="Steven,Chan"/>
    <s v="CHAN, S MBDC2-2019-08"/>
    <s v="UHN"/>
    <d v="2019-09-01T00:00:00"/>
    <d v="2021-11-30T00:00:00"/>
    <n v="56666"/>
    <n v="18886.7778"/>
  </r>
  <r>
    <n v="507776"/>
    <n v="211377"/>
    <s v="507776,211377"/>
    <x v="1"/>
    <s v="Cycle 2 "/>
    <x v="5"/>
    <s v="John"/>
    <s v="Dick"/>
    <s v="John,Dick"/>
    <s v="John Dick"/>
    <s v="UHN"/>
    <d v="2019-09-01T00:00:00"/>
    <d v="2021-11-30T00:00:00"/>
    <n v="19200"/>
    <n v="6399.36"/>
  </r>
  <r>
    <n v="507776"/>
    <n v="211377"/>
    <s v="507776,211377"/>
    <x v="0"/>
    <s v="Cycle 2 "/>
    <x v="5"/>
    <s v="John"/>
    <s v="Dick"/>
    <s v="John,Dick"/>
    <s v="DICK, J MBDC2-2019-08"/>
    <s v="UHN"/>
    <d v="2019-09-01T00:00:00"/>
    <d v="2021-11-30T00:00:00"/>
    <n v="40800"/>
    <n v="13598.64"/>
  </r>
  <r>
    <n v="507776"/>
    <n v="211963"/>
    <s v="507776,211963"/>
    <x v="1"/>
    <s v="Cycle 2 "/>
    <x v="5"/>
    <s v="Gary"/>
    <s v="Bader"/>
    <s v="Gary,Bader"/>
    <s v="Gary Bader"/>
    <s v="Campus"/>
    <d v="2019-09-01T00:00:00"/>
    <d v="2021-11-30T00:00:00"/>
    <n v="16000"/>
    <n v="5332.8"/>
  </r>
  <r>
    <n v="507776"/>
    <n v="211963"/>
    <s v="507776,211963"/>
    <x v="0"/>
    <s v="Cycle 2 "/>
    <x v="5"/>
    <s v="Gary"/>
    <s v="Bader"/>
    <s v="Gary,Bader"/>
    <s v="BADER, G MBDC2-2019-08"/>
    <s v="Campus"/>
    <d v="2019-09-01T00:00:00"/>
    <d v="2021-11-30T00:00:00"/>
    <n v="34000"/>
    <n v="11332.199999999999"/>
  </r>
  <r>
    <n v="507777"/>
    <n v="203561"/>
    <s v="507777,203561"/>
    <x v="1"/>
    <s v="Cycle 2 "/>
    <x v="5"/>
    <s v="Tom"/>
    <s v="Waddell"/>
    <s v="Tom,Waddell"/>
    <s v="Tom Waddell"/>
    <s v="UHN"/>
    <d v="2019-09-01T00:00:00"/>
    <d v="2021-11-30T00:00:00"/>
    <n v="28475"/>
    <n v="9490.7174999999988"/>
  </r>
  <r>
    <n v="507777"/>
    <n v="203561"/>
    <s v="507777,203561"/>
    <x v="0"/>
    <s v="Cycle 2 "/>
    <x v="5"/>
    <s v="Tom"/>
    <s v="Waddell"/>
    <s v="Tom,Waddell"/>
    <s v="WADDELL, T MBDC2-2019-09"/>
    <s v="UHN"/>
    <d v="2019-09-01T00:00:00"/>
    <d v="2021-11-30T00:00:00"/>
    <n v="60589"/>
    <n v="20194.313699999999"/>
  </r>
  <r>
    <n v="507777"/>
    <n v="203628"/>
    <s v="507777,203628"/>
    <x v="1"/>
    <s v="Cycle 2 "/>
    <x v="5"/>
    <s v="Shaf"/>
    <s v="Keshavjee"/>
    <s v="Shaf,Keshavjee"/>
    <s v="Shafique Keshavjee"/>
    <s v="UHN"/>
    <d v="2019-09-01T00:00:00"/>
    <d v="2021-11-30T00:00:00"/>
    <n v="64686"/>
    <n v="21559.843799999999"/>
  </r>
  <r>
    <n v="507777"/>
    <n v="203628"/>
    <s v="507777,203628"/>
    <x v="0"/>
    <s v="Cycle 2 "/>
    <x v="5"/>
    <s v="Shaf"/>
    <s v="Keshavjee"/>
    <s v="Shaf,Keshavjee"/>
    <s v="KESHAVJEE, S MBDC2-2019-09"/>
    <s v="UHN"/>
    <d v="2019-09-01T00:00:00"/>
    <d v="2021-11-30T00:00:00"/>
    <n v="136844"/>
    <n v="45610.105199999998"/>
  </r>
  <r>
    <n v="507777"/>
    <n v="206121"/>
    <s v="507777,206121"/>
    <x v="1"/>
    <s v="Cycle 2 "/>
    <x v="5"/>
    <s v="Cristina"/>
    <s v="Amon"/>
    <s v="Cristina,Amon"/>
    <s v="Cristina Amon"/>
    <s v="Campus"/>
    <d v="2019-09-01T00:00:00"/>
    <d v="2021-11-30T00:00:00"/>
    <n v="34260"/>
    <n v="11418.858"/>
  </r>
  <r>
    <n v="507777"/>
    <n v="206121"/>
    <s v="507777,206121"/>
    <x v="0"/>
    <s v="Cycle 2 "/>
    <x v="5"/>
    <s v="Cristina"/>
    <s v="Amon"/>
    <s v="Cristina,Amon"/>
    <s v="AMON, C MBDC2-2019-09"/>
    <s v="Campus"/>
    <d v="2019-09-01T00:00:00"/>
    <d v="2021-11-30T00:00:00"/>
    <n v="80580"/>
    <n v="26857.313999999998"/>
  </r>
  <r>
    <n v="507777"/>
    <n v="206470"/>
    <s v="507777,206470"/>
    <x v="1"/>
    <s v="Cycle 2 "/>
    <x v="5"/>
    <s v="Aimy"/>
    <s v="Bazylak"/>
    <s v="Aimy,Bazylak"/>
    <s v="Aimy Bazylak"/>
    <s v="Campus"/>
    <d v="2019-09-01T00:00:00"/>
    <d v="2021-11-30T00:00:00"/>
    <n v="17265"/>
    <n v="5754.4245000000001"/>
  </r>
  <r>
    <n v="507777"/>
    <n v="206470"/>
    <s v="507777,206470"/>
    <x v="0"/>
    <s v="Cycle 2 "/>
    <x v="5"/>
    <s v="Aimy"/>
    <s v="Bazylak"/>
    <s v="Aimy,Bazylak"/>
    <s v="BAZYLAK, A MBDC2-2019-09"/>
    <s v="Campus"/>
    <d v="2019-09-01T00:00:00"/>
    <d v="2021-11-30T00:00:00"/>
    <n v="36735"/>
    <n v="12243.7755"/>
  </r>
  <r>
    <n v="507777"/>
    <n v="208815"/>
    <s v="507777,208815"/>
    <x v="1"/>
    <s v="Cycle 2 "/>
    <x v="5"/>
    <s v="Marcelo"/>
    <s v="Cypel"/>
    <s v="Marcelo,Cypel"/>
    <s v="Marcelo Cypel"/>
    <s v="UHN"/>
    <d v="2019-09-01T00:00:00"/>
    <d v="2021-11-30T00:00:00"/>
    <n v="15314"/>
    <n v="5104.1561999999994"/>
  </r>
  <r>
    <n v="507777"/>
    <n v="208815"/>
    <s v="507777,208815"/>
    <x v="0"/>
    <s v="Cycle 2 "/>
    <x v="5"/>
    <s v="Marcelo"/>
    <s v="Cypel"/>
    <s v="Marcelo,Cypel"/>
    <s v="CYPEL, M MBDC2-2019-09 "/>
    <s v="UHN"/>
    <d v="2019-09-01T00:00:00"/>
    <d v="2021-11-30T00:00:00"/>
    <n v="32926"/>
    <n v="10974.2358"/>
  </r>
  <r>
    <n v="507778"/>
    <n v="207444"/>
    <s v="507778,207444"/>
    <x v="0"/>
    <s v="Cycle 2 "/>
    <x v="5"/>
    <s v="Sidhartha"/>
    <s v="Goyal"/>
    <s v="Sidhartha,Goyal"/>
    <s v="GOYAL, S MBDC2-2019-20"/>
    <s v="Campus"/>
    <d v="2019-09-01T00:00:00"/>
    <d v="2021-11-30T00:00:00"/>
    <n v="50000"/>
    <n v="16665"/>
  </r>
  <r>
    <n v="507778"/>
    <n v="210089"/>
    <s v="507778,210089"/>
    <x v="1"/>
    <s v="Cycle 2 "/>
    <x v="5"/>
    <s v="Jeff"/>
    <s v="Wrana"/>
    <s v="Jeff,Wrana"/>
    <s v="Jeff Wrana"/>
    <s v="SHS"/>
    <d v="2019-09-01T00:00:00"/>
    <d v="2021-11-30T00:00:00"/>
    <n v="80000"/>
    <n v="26664"/>
  </r>
  <r>
    <n v="507778"/>
    <n v="210089"/>
    <s v="507778,210089"/>
    <x v="0"/>
    <s v="Cycle 2 "/>
    <x v="5"/>
    <s v="Jeff"/>
    <s v="Wrana"/>
    <s v="Jeff,Wrana"/>
    <s v="WRANA, J  MBDC2-2019-20"/>
    <s v="SHS"/>
    <d v="2019-09-01T00:00:00"/>
    <d v="2021-11-30T00:00:00"/>
    <n v="89000"/>
    <n v="29663.699999999997"/>
  </r>
  <r>
    <n v="507778"/>
    <n v="210174"/>
    <s v="507778,210174"/>
    <x v="0"/>
    <s v="Cycle 2 "/>
    <x v="5"/>
    <s v="Ben"/>
    <s v="Blencowe"/>
    <s v="Ben,Blencowe"/>
    <s v="BLENCOWE, B MBDC2-2019-20"/>
    <s v="Campus"/>
    <d v="2019-09-01T00:00:00"/>
    <d v="2021-11-30T00:00:00"/>
    <n v="66000"/>
    <n v="21997.8"/>
  </r>
  <r>
    <n v="507778"/>
    <n v="211058"/>
    <s v="507778,211058"/>
    <x v="0"/>
    <s v="Cycle 2 "/>
    <x v="5"/>
    <s v="Liliana"/>
    <s v="Attisano"/>
    <s v="Liliana,Attisano"/>
    <s v="ATTISANO, L MBDC2-2019-20"/>
    <s v="Campus"/>
    <d v="2019-09-01T00:00:00"/>
    <d v="2021-11-30T00:00:00"/>
    <n v="76000"/>
    <n v="25330.799999999999"/>
  </r>
  <r>
    <n v="507778"/>
    <n v="212343"/>
    <s v="507778,212343"/>
    <x v="1"/>
    <s v="Cycle 2 "/>
    <x v="5"/>
    <s v="Laurence"/>
    <s v="Pelletier"/>
    <s v="Laurence,Pelletier"/>
    <s v="Lawrence Pelletier"/>
    <s v="SHS"/>
    <d v="2019-09-01T00:00:00"/>
    <d v="2021-11-30T00:00:00"/>
    <n v="80000"/>
    <n v="26664"/>
  </r>
  <r>
    <n v="507778"/>
    <n v="212343"/>
    <s v="507778,212343"/>
    <x v="0"/>
    <s v="Cycle 2 "/>
    <x v="5"/>
    <s v="Laurence"/>
    <s v="Pelletier"/>
    <s v="Laurence,Pelletier"/>
    <s v="PELLETIER, L MBDC2-2019-20"/>
    <s v="SHS"/>
    <d v="2019-09-01T00:00:00"/>
    <d v="2021-11-30T00:00:00"/>
    <n v="59000"/>
    <n v="19664.7"/>
  </r>
  <r>
    <n v="507779"/>
    <n v="200037"/>
    <s v="507779,200037"/>
    <x v="0"/>
    <s v="Cycle 2 "/>
    <x v="5"/>
    <s v="Juan Carlos"/>
    <s v="Zúñiga-Pflücker"/>
    <s v="Juan Carlos,Zúñiga-Pflücker"/>
    <s v="ZUNIGA, JC MBDC2-2019-11"/>
    <s v="SRI"/>
    <d v="2019-09-01T00:00:00"/>
    <d v="2021-11-30T00:00:00"/>
    <n v="95000"/>
    <n v="31663.5"/>
  </r>
  <r>
    <n v="507779"/>
    <n v="208609"/>
    <s v="507779,208609"/>
    <x v="0"/>
    <s v="Cycle 2 "/>
    <x v="5"/>
    <s v="Andras"/>
    <s v="Nagy"/>
    <s v="Andras,Nagy"/>
    <s v="NAGY, A MBDC2-2019-11 "/>
    <s v="SHS"/>
    <d v="2019-09-01T00:00:00"/>
    <d v="2021-11-30T00:00:00"/>
    <n v="200000"/>
    <n v="66660"/>
  </r>
  <r>
    <n v="507779"/>
    <n v="208616"/>
    <s v="507779,208616"/>
    <x v="0"/>
    <s v="Cycle 2 "/>
    <x v="5"/>
    <s v="Cristina"/>
    <s v="Nostro"/>
    <s v="Cristina,Nostro"/>
    <s v="NOSTRO, C MBDC2-2019-11"/>
    <s v="UHN"/>
    <d v="2019-09-01T00:00:00"/>
    <d v="2021-11-30T00:00:00"/>
    <n v="80000"/>
    <n v="26664"/>
  </r>
  <r>
    <n v="507779"/>
    <n v="208630"/>
    <s v="507779,208630"/>
    <x v="0"/>
    <s v="Cycle 2 "/>
    <x v="5"/>
    <s v="Naoto"/>
    <s v="Hirano"/>
    <s v="Naoto,Hirano"/>
    <s v="HIRANO, N MBDC2-2019-11"/>
    <s v="UHN"/>
    <d v="2019-09-01T00:00:00"/>
    <d v="2021-11-30T00:00:00"/>
    <n v="75000"/>
    <n v="24997.5"/>
  </r>
  <r>
    <n v="507779"/>
    <n v="208631"/>
    <s v="507779,208631"/>
    <x v="0"/>
    <s v="Cycle 2 "/>
    <x v="5"/>
    <s v="Tracy"/>
    <s v="McGaha"/>
    <s v="Tracy,McGaha"/>
    <s v="MCGAHA, T MBDC2-2019-11"/>
    <s v="UHN"/>
    <d v="2019-09-01T00:00:00"/>
    <d v="2021-11-30T00:00:00"/>
    <n v="50000"/>
    <n v="16665"/>
  </r>
  <r>
    <n v="507779"/>
    <n v="208750"/>
    <s v="507779,208750"/>
    <x v="0"/>
    <s v="Cycle 2 "/>
    <x v="5"/>
    <s v="Sara"/>
    <s v="Vasconcelos"/>
    <s v="Sara,Vasconcelos"/>
    <s v="VASCONCELOS, S MBDC2-2019-11"/>
    <s v="UHN"/>
    <d v="2019-09-01T00:00:00"/>
    <d v="2021-11-30T00:00:00"/>
    <n v="70000"/>
    <n v="23331"/>
  </r>
  <r>
    <n v="507779"/>
    <n v="209346"/>
    <s v="507779,209346"/>
    <x v="0"/>
    <s v="Cycle 2 "/>
    <x v="5"/>
    <s v="Sarah"/>
    <s v="Crome"/>
    <s v="Sarah,Crome"/>
    <s v="CROME, S MBDC2-2019-11"/>
    <s v="UHN"/>
    <d v="2019-09-01T00:00:00"/>
    <d v="2021-11-30T00:00:00"/>
    <n v="80000"/>
    <n v="26664"/>
  </r>
  <r>
    <n v="507782"/>
    <n v="202616"/>
    <s v="507782,212616"/>
    <x v="0"/>
    <s v="Executive Director Award: Zandstra/Sefton"/>
    <x v="0"/>
    <s v="Michael"/>
    <s v="Sefton"/>
    <s v="Michael,Sefton"/>
    <s v="Michael Sefton Exec. Director Fund"/>
    <s v="Campus"/>
    <d v="2019-09-01T00:00:00"/>
    <d v="2022-06-30T00:00:00"/>
    <n v="300000"/>
    <n v="99990"/>
  </r>
  <r>
    <n v="508292"/>
    <n v="211058"/>
    <s v="508292,211058"/>
    <x v="0"/>
    <s v="Cycle 2 "/>
    <x v="5"/>
    <s v="Liliana"/>
    <s v="Attisano"/>
    <s v="Liliana,Attisano"/>
    <s v="ATTISANO, L ORGANOID "/>
    <s v="Campus"/>
    <d v="2019-09-01T00:00:00"/>
    <d v="2021-11-30T00:00:00"/>
    <n v="100000"/>
    <n v="3333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2">
  <r>
    <n v="499942"/>
    <n v="107525"/>
    <x v="0"/>
    <s v="DIRECTOR,EXECUTIVE"/>
    <s v="EXEC DIRECTOR FUNDS"/>
    <s v="Campus"/>
    <d v="2015-09-01T00:00:00"/>
    <d v="2022-03-31T00:00:00"/>
    <n v="900000"/>
    <n v="299970"/>
  </r>
  <r>
    <n v="500737"/>
    <n v="107525"/>
    <x v="0"/>
    <s v="DIRECTOR,EXECUTIVE"/>
    <s v="EXEC DIRECTOR FUNDS"/>
    <s v="Campus"/>
    <d v="2015-09-01T00:00:00"/>
    <d v="2022-03-31T00:00:00"/>
    <n v="510000"/>
    <n v="169983"/>
  </r>
  <r>
    <n v="502319"/>
    <n v="208810"/>
    <x v="1"/>
    <s v="Valerie,Wallace"/>
    <s v="WALLACE V OMPDF-2017"/>
    <s v="UHN"/>
    <d v="2017-04-01T00:00:00"/>
    <d v="2020-03-31T00:00:00"/>
    <n v="25000"/>
    <n v="8332.5"/>
  </r>
  <r>
    <n v="502529"/>
    <n v="210089"/>
    <x v="1"/>
    <s v="Jeff,Wrana"/>
    <s v="WRANA J MPDF-2017-03"/>
    <s v="SHS"/>
    <d v="2017-04-01T00:00:00"/>
    <d v="2020-03-31T00:00:00"/>
    <n v="50000"/>
    <n v="16665"/>
  </r>
  <r>
    <n v="502531"/>
    <n v="208620"/>
    <x v="1"/>
    <s v="Daniel,Schramek"/>
    <s v="SCHRAMEK D MPDF-2017"/>
    <s v="SHS"/>
    <d v="2017-04-01T00:00:00"/>
    <d v="2020-03-31T00:00:00"/>
    <n v="50000"/>
    <n v="16665"/>
  </r>
  <r>
    <n v="502535"/>
    <n v="208616"/>
    <x v="1"/>
    <s v="Cristina,Nostro"/>
    <s v="NOSTRO C MPDF-2017-02"/>
    <s v="UHN"/>
    <d v="2017-12-01T00:00:00"/>
    <d v="2020-12-31T00:00:00"/>
    <n v="50000"/>
    <n v="16665"/>
  </r>
  <r>
    <n v="502553"/>
    <n v="203770"/>
    <x v="1"/>
    <s v="Peter,Zandstra"/>
    <s v="ZANDSTRA P MPDF-2017"/>
    <s v="Campus"/>
    <d v="2017-04-01T00:00:00"/>
    <d v="2020-03-31T00:00:00"/>
    <n v="50000"/>
    <n v="16665"/>
  </r>
  <r>
    <n v="504320"/>
    <n v="205554"/>
    <x v="1"/>
    <s v="Craig,Simmons"/>
    <s v="SIMMONS, CRAIG  - MPDF 2018"/>
    <s v="Campus"/>
    <d v="2018-05-01T00:00:00"/>
    <d v="2021-03-31T00:00:00"/>
    <n v="50000"/>
    <n v="16665"/>
  </r>
  <r>
    <n v="504321"/>
    <n v="205839"/>
    <x v="1"/>
    <s v="Aaron,Wheeler"/>
    <s v="WHEELER, AARON  - MPDF 2018"/>
    <s v="Campus"/>
    <d v="2018-04-01T00:00:00"/>
    <d v="2021-03-31T00:00:00"/>
    <n v="50000"/>
    <n v="16665"/>
  </r>
  <r>
    <n v="504322"/>
    <n v="205839"/>
    <x v="1"/>
    <s v="Aaron,Wheeler"/>
    <s v="KIM, TAE-HEE - MPDF 2018"/>
    <s v="HSC"/>
    <d v="2018-05-01T00:00:00"/>
    <d v="2021-07-31T00:00:00"/>
    <n v="50000"/>
    <n v="16665"/>
  </r>
  <r>
    <n v="504334"/>
    <n v="202019"/>
    <x v="2"/>
    <s v="Paul,Santerre"/>
    <s v="SANTERRE, PAUL   - MBDNI"/>
    <s v="Campus"/>
    <d v="2018-04-01T00:00:00"/>
    <d v="2020-03-31T00:00:00"/>
    <n v="100000"/>
    <n v="33330"/>
  </r>
  <r>
    <n v="504335"/>
    <n v="203820"/>
    <x v="2"/>
    <s v="Cindi,Morshead"/>
    <s v="MORSHEAD, CINDI - MBDNI 2018"/>
    <s v="Campus"/>
    <d v="2018-04-01T00:00:00"/>
    <d v="2020-08-01T00:00:00"/>
    <n v="41859"/>
    <n v="13951.6047"/>
  </r>
  <r>
    <n v="504335"/>
    <n v="208897"/>
    <x v="2"/>
    <s v="Maryam,Faiz"/>
    <s v="FAIZ, MARYAM - MBDNI 2018  "/>
    <s v="Campus"/>
    <d v="2018-04-01T00:00:00"/>
    <d v="2020-08-01T00:00:00"/>
    <n v="58135"/>
    <n v="19376.395499999999"/>
  </r>
  <r>
    <n v="504337"/>
    <n v="205592"/>
    <x v="2"/>
    <s v="Melanie,Woodin"/>
    <s v="WOODIN, MELANIE  - MBDNI 2018"/>
    <s v="Campus"/>
    <d v="2018-04-01T00:00:00"/>
    <d v="2020-09-30T00:00:00"/>
    <n v="74230"/>
    <n v="24740.859"/>
  </r>
  <r>
    <n v="504337"/>
    <n v="211478"/>
    <x v="2"/>
    <s v="Janice,Robertson"/>
    <s v="ROBERTSON, JANI   - MBDNI 2018 "/>
    <s v="Campus"/>
    <d v="2018-04-01T00:00:00"/>
    <d v="2020-09-30T00:00:00"/>
    <n v="24370"/>
    <n v="8122.5209999999997"/>
  </r>
  <r>
    <n v="504344"/>
    <n v="211218"/>
    <x v="2"/>
    <s v="Howard,Leong-Poi"/>
    <s v="HOWARD LEONG-POI "/>
    <s v="SMH"/>
    <d v="2018-04-01T00:00:00"/>
    <d v="2020-03-31T00:00:00"/>
    <n v="14227"/>
    <n v="4741.8590999999997"/>
  </r>
  <r>
    <n v="504344"/>
    <n v="211456"/>
    <x v="2"/>
    <s v="Jane,Batt"/>
    <s v=" BATT, JANE - MBDNI 2018 "/>
    <s v="SMH"/>
    <d v="2018-04-01T00:00:00"/>
    <d v="2020-03-31T00:00:00"/>
    <n v="85210"/>
    <n v="28400.492999999999"/>
  </r>
  <r>
    <n v="504839"/>
    <n v="209210"/>
    <x v="3"/>
    <s v="Yun,LI"/>
    <s v="LI, Y LAB"/>
    <s v="HSC"/>
    <d v="2017-12-01T00:00:00"/>
    <d v="2021-11-30T00:00:00"/>
    <n v="154500"/>
    <n v="51494.85"/>
  </r>
  <r>
    <n v="504875"/>
    <n v="209210"/>
    <x v="3"/>
    <s v="Yun,LI"/>
    <s v="LI, Y PI SALARY "/>
    <s v="HSC"/>
    <d v="2017-12-01T00:00:00"/>
    <d v="2021-11-30T00:00:00"/>
    <n v="710760"/>
    <n v="236896.30799999999"/>
  </r>
  <r>
    <n v="504878"/>
    <n v="209194"/>
    <x v="3"/>
    <s v="Hyun (Kate),Lee"/>
    <s v="LEE, H CFREF 2018"/>
    <s v="Campus"/>
    <d v="2018-04-01T00:00:00"/>
    <d v="2020-03-31T00:00:00"/>
    <n v="55600"/>
    <n v="18531.48"/>
  </r>
  <r>
    <n v="505062"/>
    <n v="206247"/>
    <x v="1"/>
    <s v="Patrick,Gunning"/>
    <s v="GUNNING, PATRICK"/>
    <s v="Campus"/>
    <d v="2018-04-01T00:00:00"/>
    <d v="2019-09-20T00:00:00"/>
    <n v="34488.5"/>
    <n v="11495.01705"/>
  </r>
  <r>
    <n v="505082"/>
    <n v="212504"/>
    <x v="1"/>
    <s v="Freda,Miller"/>
    <s v="MILLER, FREDA"/>
    <s v="HSC"/>
    <d v="2018-04-01T00:00:00"/>
    <d v="2021-03-31T00:00:00"/>
    <n v="50000"/>
    <n v="16665"/>
  </r>
  <r>
    <n v="505362"/>
    <n v="209346"/>
    <x v="3"/>
    <s v="Sarah,Crome"/>
    <s v="CROME, SARAH - Faculty Support"/>
    <s v="UHN"/>
    <d v="2018-07-01T00:00:00"/>
    <d v="2021-06-30T00:00:00"/>
    <n v="150000"/>
    <n v="49995"/>
  </r>
  <r>
    <n v="505749"/>
    <n v="209403"/>
    <x v="3"/>
    <s v="Stephanie,Protze"/>
    <s v="PROTZE, STEPHANIE - Faculty Support"/>
    <s v="UHN"/>
    <d v="2018-08-01T00:00:00"/>
    <d v="2021-07-31T00:00:00"/>
    <n v="250000"/>
    <n v="83325"/>
  </r>
  <r>
    <n v="506448"/>
    <n v="208217"/>
    <x v="1"/>
    <s v="Mikko,Taipale"/>
    <s v="TAIPALE MIKKO"/>
    <s v="Campus"/>
    <d v="2019-04-01T00:00:00"/>
    <d v="2021-03-31T00:00:00"/>
    <n v="50000"/>
    <n v="16665"/>
  </r>
  <r>
    <n v="506449"/>
    <n v="203820"/>
    <x v="1"/>
    <s v="Cindi,Morshead"/>
    <s v="MORSHEAD CINDI"/>
    <s v="Campus"/>
    <d v="2019-04-01T00:00:00"/>
    <d v="2021-03-31T00:00:00"/>
    <n v="50000"/>
    <n v="16665"/>
  </r>
  <r>
    <n v="506450"/>
    <n v="208620"/>
    <x v="1"/>
    <s v="Daniel,Schramek"/>
    <s v="SCHRAMEK DANIEL"/>
    <s v="SHS"/>
    <d v="2019-04-01T00:00:00"/>
    <d v="2022-03-31T00:00:00"/>
    <n v="50000"/>
    <n v="16665"/>
  </r>
  <r>
    <n v="506451"/>
    <n v="207233"/>
    <x v="1"/>
    <s v="Penney,Gilbert"/>
    <s v="GILBERT PENNEY"/>
    <s v="Campus"/>
    <d v="2019-04-01T00:00:00"/>
    <d v="2022-03-31T00:00:00"/>
    <n v="50000"/>
    <n v="16665"/>
  </r>
  <r>
    <n v="506456"/>
    <n v="207032"/>
    <x v="2"/>
    <s v="Bebhinn,Treanor"/>
    <s v="TREANOR, BEBHINN LUCY"/>
    <s v="Campus"/>
    <d v="2019-04-01T00:00:00"/>
    <d v="2021-12-31T00:00:00"/>
    <n v="50000"/>
    <n v="16665"/>
  </r>
  <r>
    <n v="506456"/>
    <n v="209438"/>
    <x v="2"/>
    <s v="Leo,Chou"/>
    <s v="CHOU, LEO"/>
    <s v="Campus"/>
    <d v="2019-04-01T00:00:00"/>
    <d v="2021-12-31T00:00:00"/>
    <n v="50000"/>
    <n v="16665"/>
  </r>
  <r>
    <n v="506457"/>
    <n v="208406"/>
    <x v="2"/>
    <s v="Robert,Hamilton"/>
    <s v="HAMILTON, ROBERT"/>
    <s v="HSC"/>
    <d v="2019-04-01T00:00:00"/>
    <d v="2021-06-30T00:00:00"/>
    <n v="25000"/>
    <n v="8332.5"/>
  </r>
  <r>
    <n v="506457"/>
    <n v="212361"/>
    <x v="2"/>
    <s v="Sachdev,Sidhu"/>
    <s v="SIDHU, SACHDEV"/>
    <s v="Campus"/>
    <d v="2019-04-01T00:00:00"/>
    <d v="2021-06-30T00:00:00"/>
    <n v="75000"/>
    <n v="24997.5"/>
  </r>
  <r>
    <n v="506458"/>
    <n v="205547"/>
    <x v="2"/>
    <s v="Yu,Sun"/>
    <s v="SUN, YU"/>
    <s v="Campus"/>
    <d v="2019-04-01T00:00:00"/>
    <d v="2021-06-30T00:00:00"/>
    <n v="26980"/>
    <n v="8992.4339999999993"/>
  </r>
  <r>
    <n v="506458"/>
    <n v="212183"/>
    <x v="2"/>
    <s v="Sevan,Hopyan"/>
    <s v="HOPYAN, SEVAN"/>
    <s v="HSC"/>
    <d v="2019-04-01T00:00:00"/>
    <d v="2021-06-30T00:00:00"/>
    <n v="71385"/>
    <n v="23792.620499999997"/>
  </r>
  <r>
    <n v="506459"/>
    <n v="205993"/>
    <x v="2"/>
    <s v="Radhakrishnan,Mahadevan"/>
    <s v="MAHADEVAN, RADHAKRISHNAN"/>
    <s v="Campus"/>
    <d v="2019-04-01T00:00:00"/>
    <d v="2021-06-30T00:00:00"/>
    <n v="36000"/>
    <n v="11998.8"/>
  </r>
  <r>
    <n v="506459"/>
    <n v="208379"/>
    <x v="2"/>
    <s v="Keith,Pardee"/>
    <s v="PARDEE, KEITH"/>
    <s v="Campus"/>
    <d v="2019-04-01T00:00:00"/>
    <d v="2021-06-30T00:00:00"/>
    <n v="46500"/>
    <n v="15498.449999999999"/>
  </r>
  <r>
    <n v="506459"/>
    <n v="208617"/>
    <x v="2"/>
    <s v="Tae-Hee,Kim"/>
    <s v="KIM, TAE-HEE"/>
    <s v="HSC"/>
    <d v="2019-04-01T00:00:00"/>
    <d v="2021-06-30T00:00:00"/>
    <n v="30000"/>
    <n v="9999"/>
  </r>
  <r>
    <n v="506472"/>
    <n v="200011"/>
    <x v="2"/>
    <s v="Cathy,Barr"/>
    <s v="BARR, CATHY"/>
    <s v="UHN"/>
    <d v="2019-04-01T00:00:00"/>
    <d v="2020-03-31T00:00:00"/>
    <n v="41091"/>
    <n v="13695.630299999999"/>
  </r>
  <r>
    <n v="506472"/>
    <n v="200612"/>
    <x v="2"/>
    <s v="Peter,Carlen"/>
    <s v="CARLEN, PETER"/>
    <s v="UHN"/>
    <d v="2019-04-01T00:00:00"/>
    <d v="2020-03-31T00:00:00"/>
    <n v="21934"/>
    <n v="7310.6021999999994"/>
  </r>
  <r>
    <n v="506472"/>
    <n v="211172"/>
    <x v="2"/>
    <s v="Roman,Gevov"/>
    <s v="GENOV, ROMAN"/>
    <s v="Campus"/>
    <d v="2019-04-01T00:00:00"/>
    <d v="2020-03-31T00:00:00"/>
    <n v="11975"/>
    <n v="3991.2674999999999"/>
  </r>
  <r>
    <n v="506473"/>
    <n v="209346"/>
    <x v="2"/>
    <s v="Sarah,Crome"/>
    <s v="CROME, SARAH"/>
    <s v="UHN"/>
    <d v="2019-04-01T00:00:00"/>
    <d v="2020-03-31T00:00:00"/>
    <n v="75000"/>
    <n v="24997.5"/>
  </r>
  <r>
    <n v="506475"/>
    <n v="208636"/>
    <x v="2"/>
    <s v="Alain,Dabdoub"/>
    <s v="DABDOUB, ALAIN"/>
    <s v="SRI"/>
    <d v="2019-04-01T00:00:00"/>
    <d v="2020-03-31T00:00:00"/>
    <n v="75000"/>
    <n v="24997.5"/>
  </r>
  <r>
    <n v="506485"/>
    <n v="205554"/>
    <x v="4"/>
    <s v="Craig,Simmons"/>
    <s v="SIMMONS, CRAIG"/>
    <s v="Campus"/>
    <d v="2019-01-01T00:00:00"/>
    <d v="2021-05-31T00:00:00"/>
    <n v="10000"/>
    <n v="3333"/>
  </r>
  <r>
    <n v="506485"/>
    <n v="209461"/>
    <x v="4"/>
    <s v="Jennifer,Chung"/>
    <s v="CHUNG, JENNIFER"/>
    <s v="UHN"/>
    <d v="2019-01-01T00:00:00"/>
    <d v="2021-05-31T00:00:00"/>
    <n v="15000"/>
    <n v="4999.5"/>
  </r>
  <r>
    <n v="506682"/>
    <n v="213061"/>
    <x v="2"/>
    <s v="Miguel,Ramalho-Santos"/>
    <s v="RAMALO-SANTOS, MIGUEL"/>
    <s v="SHS"/>
    <d v="2019-04-01T00:00:00"/>
    <d v="2020-03-31T00:00:00"/>
    <n v="75000"/>
    <n v="24997.5"/>
  </r>
  <r>
    <n v="506754"/>
    <n v="203770"/>
    <x v="2"/>
    <s v="Peter,Zandstra"/>
    <s v="ZANDSTRA, PETER"/>
    <s v="UBC"/>
    <d v="2019-04-01T00:00:00"/>
    <d v="2020-03-31T00:00:00"/>
    <n v="37500"/>
    <n v="12498.75"/>
  </r>
  <r>
    <n v="506754"/>
    <n v="207378"/>
    <x v="2"/>
    <s v="Angela,Schoellig"/>
    <s v="SCHOELLIG, ANGELA"/>
    <s v="Campus"/>
    <d v="2019-04-01T00:00:00"/>
    <d v="2020-03-31T00:00:00"/>
    <n v="37500"/>
    <n v="12498.75"/>
  </r>
  <r>
    <n v="507637"/>
    <n v="206014"/>
    <x v="5"/>
    <s v="Anthony,Gramolini"/>
    <s v="Anthony Gramolini"/>
    <s v="Campus"/>
    <d v="2019-09-01T00:00:00"/>
    <d v="2021-11-30T00:00:00"/>
    <n v="40800"/>
    <n v="13598.64"/>
  </r>
  <r>
    <n v="507637"/>
    <n v="207636"/>
    <x v="5"/>
    <s v="Hai-Ling,Cheng"/>
    <s v="Hai-Ling Margaret Cheng"/>
    <s v="Campus"/>
    <d v="2019-09-01T00:00:00"/>
    <d v="2021-11-30T00:00:00"/>
    <n v="85000"/>
    <n v="28330.5"/>
  </r>
  <r>
    <n v="507637"/>
    <n v="208625"/>
    <x v="5"/>
    <s v="Slava,Epelman"/>
    <s v="Slava Epelman"/>
    <s v="UHN"/>
    <d v="2019-09-01T00:00:00"/>
    <d v="2021-11-30T00:00:00"/>
    <n v="63750"/>
    <n v="21247.875"/>
  </r>
  <r>
    <n v="507637"/>
    <n v="208728"/>
    <x v="5"/>
    <s v="Michael,Laflamme"/>
    <s v="Michael LaFlamme"/>
    <s v="UHN"/>
    <d v="2019-09-01T00:00:00"/>
    <d v="2021-11-30T00:00:00"/>
    <n v="378100"/>
    <n v="126020.73"/>
  </r>
  <r>
    <n v="507637"/>
    <n v="209491"/>
    <x v="5"/>
    <s v="Nilesh,Ghurgre"/>
    <s v="Nilesh R. Ghugre"/>
    <s v="SRI"/>
    <d v="2019-09-01T00:00:00"/>
    <d v="2021-11-30T00:00:00"/>
    <n v="153000"/>
    <n v="50994.899999999994"/>
  </r>
  <r>
    <n v="507637"/>
    <n v="209660"/>
    <x v="5"/>
    <s v="Mark,Friedberg"/>
    <s v="Mark Friedberg"/>
    <s v="HSC"/>
    <d v="2019-09-01T00:00:00"/>
    <d v="2021-11-30T00:00:00"/>
    <n v="74800"/>
    <n v="24930.84"/>
  </r>
  <r>
    <n v="507637"/>
    <n v="211152"/>
    <x v="5"/>
    <s v="Scott,Heximer"/>
    <s v="Scott Heximer"/>
    <s v="Campus"/>
    <d v="2019-09-01T00:00:00"/>
    <d v="2021-11-30T00:00:00"/>
    <n v="40800"/>
    <n v="13598.64"/>
  </r>
  <r>
    <n v="507637"/>
    <n v="212636"/>
    <x v="5"/>
    <s v="Gordon,Keller"/>
    <s v="Gordon Keller"/>
    <s v="UHN"/>
    <d v="2019-09-01T00:00:00"/>
    <d v="2021-11-30T00:00:00"/>
    <n v="63750"/>
    <n v="21247.875"/>
  </r>
  <r>
    <n v="507638"/>
    <n v="203770"/>
    <x v="5"/>
    <s v="Peter,Zandstra"/>
    <s v="Peter Zandstra"/>
    <s v="UBC"/>
    <d v="2019-09-01T00:00:00"/>
    <d v="2021-11-30T00:00:00"/>
    <n v="40000"/>
    <n v="13332"/>
  </r>
  <r>
    <n v="507638"/>
    <n v="203820"/>
    <x v="5"/>
    <s v="Cindi,Morshead"/>
    <s v="Cindi Morshead"/>
    <s v="Campus"/>
    <d v="2019-09-01T00:00:00"/>
    <d v="2021-11-30T00:00:00"/>
    <n v="30000"/>
    <n v="9999"/>
  </r>
  <r>
    <n v="507638"/>
    <n v="206595"/>
    <x v="5"/>
    <s v="Alison,McGuigan"/>
    <s v="Alison McGuigan"/>
    <s v="Campus"/>
    <d v="2019-09-01T00:00:00"/>
    <d v="2021-11-30T00:00:00"/>
    <n v="133750"/>
    <n v="44578.875"/>
  </r>
  <r>
    <n v="507638"/>
    <n v="207233"/>
    <x v="5"/>
    <s v="Penney,Gilbert"/>
    <s v="Penney Gilbert"/>
    <s v="Campus"/>
    <d v="2019-09-01T00:00:00"/>
    <d v="2021-11-30T00:00:00"/>
    <n v="133500"/>
    <n v="44495.549999999996"/>
  </r>
  <r>
    <n v="507638"/>
    <n v="207444"/>
    <x v="5"/>
    <s v="Sidhartha,Goyal"/>
    <s v="Sid Goyal"/>
    <s v="Campus"/>
    <d v="2019-09-01T00:00:00"/>
    <d v="2021-11-30T00:00:00"/>
    <n v="100000"/>
    <n v="33330"/>
  </r>
  <r>
    <n v="507638"/>
    <n v="209210"/>
    <x v="5"/>
    <s v="Yun,LI"/>
    <s v="Yun Li"/>
    <s v="HSC"/>
    <d v="2019-09-01T00:00:00"/>
    <d v="2021-11-30T00:00:00"/>
    <n v="58000"/>
    <n v="19331.399999999998"/>
  </r>
  <r>
    <n v="507638"/>
    <n v="211256"/>
    <x v="5"/>
    <s v="David,Kaplan"/>
    <s v="David Kaplan"/>
    <s v="HSC"/>
    <d v="2019-09-01T00:00:00"/>
    <d v="2021-11-30T00:00:00"/>
    <n v="135000"/>
    <n v="44995.5"/>
  </r>
  <r>
    <n v="507638"/>
    <n v="211963"/>
    <x v="5"/>
    <s v="Gary,Bader"/>
    <s v="Gary Bader"/>
    <s v="Campus"/>
    <d v="2019-09-01T00:00:00"/>
    <d v="2021-11-30T00:00:00"/>
    <n v="133500"/>
    <n v="44495.549999999996"/>
  </r>
  <r>
    <n v="507638"/>
    <n v="212504"/>
    <x v="5"/>
    <s v="Freda,Miller"/>
    <s v="Freda Miller"/>
    <s v="HSC"/>
    <d v="2019-09-01T00:00:00"/>
    <d v="2021-11-30T00:00:00"/>
    <n v="133000"/>
    <n v="44328.9"/>
  </r>
  <r>
    <n v="507639"/>
    <n v="205839"/>
    <x v="5"/>
    <s v="Aaron,Wheeler"/>
    <s v="Aaron Wheeler"/>
    <s v="Campus"/>
    <d v="2019-09-01T00:00:00"/>
    <d v="2021-11-30T00:00:00"/>
    <n v="40000"/>
    <n v="13332"/>
  </r>
  <r>
    <n v="507639"/>
    <n v="206147"/>
    <x v="5"/>
    <s v="Stephane,Angers"/>
    <s v="Stephane Angers"/>
    <s v="Campus"/>
    <d v="2019-09-01T00:00:00"/>
    <d v="2021-11-30T00:00:00"/>
    <n v="240000"/>
    <n v="79992"/>
  </r>
  <r>
    <n v="507639"/>
    <n v="206205"/>
    <x v="5"/>
    <s v="Jason,Moffat"/>
    <s v="Jason Moffat"/>
    <s v="Campus"/>
    <d v="2019-09-01T00:00:00"/>
    <d v="2021-11-30T00:00:00"/>
    <n v="240000"/>
    <n v="79992"/>
  </r>
  <r>
    <n v="507639"/>
    <n v="206595"/>
    <x v="5"/>
    <s v="Alison,McGuigan"/>
    <s v="Alison McGuigan"/>
    <s v="Campus"/>
    <d v="2019-09-01T00:00:00"/>
    <d v="2021-11-30T00:00:00"/>
    <n v="40000"/>
    <n v="13332"/>
  </r>
  <r>
    <n v="507639"/>
    <n v="208379"/>
    <x v="5"/>
    <s v="Keith,Pardee"/>
    <s v="Keith Pardee"/>
    <s v="Campus"/>
    <d v="2019-09-01T00:00:00"/>
    <d v="2021-11-30T00:00:00"/>
    <n v="80000"/>
    <n v="26664"/>
  </r>
  <r>
    <n v="507639"/>
    <n v="210174"/>
    <x v="5"/>
    <s v="Ben,Blencowe"/>
    <s v="Ben Blencowe"/>
    <s v="Campus"/>
    <d v="2019-09-01T00:00:00"/>
    <d v="2021-11-30T00:00:00"/>
    <n v="80000"/>
    <n v="26664"/>
  </r>
  <r>
    <n v="507639"/>
    <n v="212065"/>
    <x v="5"/>
    <s v="Shana,Kelley"/>
    <s v="Shana Kelley"/>
    <s v="Campus"/>
    <d v="2019-09-01T00:00:00"/>
    <d v="2021-11-30T00:00:00"/>
    <n v="240000"/>
    <n v="79992"/>
  </r>
  <r>
    <n v="507639"/>
    <n v="212361"/>
    <x v="5"/>
    <s v="Sachdev,Sidhu"/>
    <s v="Sachdev Sidhu"/>
    <s v="Campus"/>
    <d v="2019-09-01T00:00:00"/>
    <d v="2021-11-30T00:00:00"/>
    <n v="240000"/>
    <n v="79992"/>
  </r>
  <r>
    <n v="507641"/>
    <n v="203173"/>
    <x v="5"/>
    <s v="Isabelle,Aubert"/>
    <s v="Isabelle Aubert"/>
    <s v="SRI"/>
    <d v="2019-09-01T00:00:00"/>
    <d v="2021-11-30T00:00:00"/>
    <n v="61955"/>
    <n v="20649.601500000001"/>
  </r>
  <r>
    <n v="507641"/>
    <n v="203820"/>
    <x v="5"/>
    <s v="Cindi,Morshead"/>
    <s v="Cindi Morshead"/>
    <s v="Campus"/>
    <d v="2019-09-01T00:00:00"/>
    <d v="2021-11-30T00:00:00"/>
    <n v="106415"/>
    <n v="35468.119500000001"/>
  </r>
  <r>
    <n v="507641"/>
    <n v="205592"/>
    <x v="5"/>
    <s v="Melanie,Woodin"/>
    <s v="Melanie Woodin"/>
    <s v="Campus"/>
    <d v="2019-09-01T00:00:00"/>
    <d v="2021-11-30T00:00:00"/>
    <n v="32000"/>
    <n v="10665.6"/>
  </r>
  <r>
    <n v="507641"/>
    <n v="208897"/>
    <x v="5"/>
    <s v="Maryam,Faiz"/>
    <s v="Maryam Faiz"/>
    <s v="Campus"/>
    <d v="2019-09-01T00:00:00"/>
    <d v="2021-11-30T00:00:00"/>
    <n v="73925"/>
    <n v="24639.202499999999"/>
  </r>
  <r>
    <n v="507641"/>
    <n v="208934"/>
    <x v="5"/>
    <s v="Carol,Schuurmans"/>
    <s v="Carol Shuurmans"/>
    <s v="SRI"/>
    <d v="2019-09-01T00:00:00"/>
    <d v="2021-11-30T00:00:00"/>
    <n v="58717"/>
    <n v="19570.376099999998"/>
  </r>
  <r>
    <n v="507642"/>
    <n v="200150"/>
    <x v="5"/>
    <s v="Myron,Cybulsky"/>
    <s v="Myron Cybulsky"/>
    <s v="UHN"/>
    <d v="2019-09-01T00:00:00"/>
    <d v="2021-11-30T00:00:00"/>
    <n v="90000"/>
    <n v="29997"/>
  </r>
  <r>
    <n v="507642"/>
    <n v="208607"/>
    <x v="5"/>
    <s v="Clint,Robbins"/>
    <s v="Clint Robbins"/>
    <s v="UHN"/>
    <d v="2019-09-01T00:00:00"/>
    <d v="2021-11-30T00:00:00"/>
    <n v="100000"/>
    <n v="33330"/>
  </r>
  <r>
    <n v="507642"/>
    <n v="212714"/>
    <x v="5"/>
    <s v="Jason,Fish"/>
    <s v="Jason Fish"/>
    <s v="UHN"/>
    <d v="2019-09-01T00:00:00"/>
    <d v="2021-11-30T00:00:00"/>
    <n v="90000"/>
    <n v="29997"/>
  </r>
  <r>
    <n v="507643"/>
    <n v="201921"/>
    <x v="5"/>
    <s v="Molly,Shoichet"/>
    <s v="Molly Shoichet"/>
    <s v="Campus"/>
    <d v="2019-09-01T00:00:00"/>
    <d v="2021-11-30T00:00:00"/>
    <n v="80000"/>
    <n v="26664"/>
  </r>
  <r>
    <n v="507643"/>
    <n v="208489"/>
    <x v="5"/>
    <s v="Julie,Lefebvre"/>
    <s v="Julie Lefebvre"/>
    <s v="HSC"/>
    <d v="2019-09-01T00:00:00"/>
    <d v="2021-11-30T00:00:00"/>
    <n v="72000"/>
    <n v="23997.599999999999"/>
  </r>
  <r>
    <n v="507643"/>
    <n v="208810"/>
    <x v="5"/>
    <s v="Valerie,Wallace"/>
    <s v="Valerie Wallace"/>
    <s v="UHN"/>
    <d v="2019-09-01T00:00:00"/>
    <d v="2021-11-30T00:00:00"/>
    <n v="100000"/>
    <n v="33330"/>
  </r>
  <r>
    <n v="507643"/>
    <n v="211134"/>
    <x v="5"/>
    <s v="Derek,van der Kooy"/>
    <s v="Derek van der Kooy"/>
    <s v="Campus"/>
    <d v="2019-09-01T00:00:00"/>
    <d v="2021-11-30T00:00:00"/>
    <n v="80000"/>
    <n v="26664"/>
  </r>
  <r>
    <n v="507693"/>
    <n v="201921"/>
    <x v="5"/>
    <s v="Molly,Shoichet"/>
    <s v="Molly Shoichet"/>
    <s v="Campus"/>
    <d v="2019-09-01T00:00:00"/>
    <d v="2021-11-30T00:00:00"/>
    <n v="66900"/>
    <n v="22297.77"/>
  </r>
  <r>
    <n v="507693"/>
    <n v="206130"/>
    <x v="5"/>
    <s v="Axel,Guenther"/>
    <s v="Axel Guenther"/>
    <s v="Campus"/>
    <d v="2019-09-01T00:00:00"/>
    <d v="2021-11-30T00:00:00"/>
    <n v="100350"/>
    <n v="33446.654999999999"/>
  </r>
  <r>
    <n v="507693"/>
    <n v="209184"/>
    <x v="5"/>
    <s v="Sonya,MacParland"/>
    <s v="Sonya MacParland"/>
    <s v="UHN"/>
    <d v="2019-09-01T00:00:00"/>
    <d v="2021-11-30T00:00:00"/>
    <n v="108000"/>
    <n v="35996.400000000001"/>
  </r>
  <r>
    <n v="507693"/>
    <n v="209766"/>
    <x v="5"/>
    <s v="Shinichiro,Ogawa"/>
    <s v="OGAWA, S MBDC2-2019-07"/>
    <s v="UHN"/>
    <d v="2019-09-01T00:00:00"/>
    <d v="2021-11-30T00:00:00"/>
    <n v="108123"/>
    <n v="36037.395899999996"/>
  </r>
  <r>
    <n v="507693"/>
    <n v="211063"/>
    <x v="5"/>
    <s v="Christine,Bear"/>
    <s v="Christine Bear"/>
    <s v="HSC"/>
    <d v="2019-09-01T00:00:00"/>
    <d v="2021-11-30T00:00:00"/>
    <n v="33450"/>
    <n v="11148.885"/>
  </r>
  <r>
    <n v="507693"/>
    <n v="211963"/>
    <x v="5"/>
    <s v="Gary,Bader"/>
    <s v="Gary Bader"/>
    <s v="Campus"/>
    <d v="2019-09-01T00:00:00"/>
    <d v="2021-11-30T00:00:00"/>
    <n v="33450"/>
    <n v="11148.885"/>
  </r>
  <r>
    <n v="507693"/>
    <n v="212636"/>
    <x v="5"/>
    <s v="Gordon,Keller"/>
    <s v="Gordon Keller"/>
    <s v="UHN"/>
    <d v="2019-09-01T00:00:00"/>
    <d v="2021-11-30T00:00:00"/>
    <n v="108370"/>
    <n v="36119.720999999998"/>
  </r>
  <r>
    <n v="507693"/>
    <n v="212893"/>
    <x v="5"/>
    <s v="Ian,McGilvray"/>
    <s v="Ian McGilvray"/>
    <s v="UHN"/>
    <d v="2019-09-01T00:00:00"/>
    <d v="2021-11-30T00:00:00"/>
    <n v="108000"/>
    <n v="35996.400000000001"/>
  </r>
  <r>
    <n v="507776"/>
    <n v="208625"/>
    <x v="5"/>
    <s v="Slava,Epelman"/>
    <s v="Slava Epelman"/>
    <s v="UHN"/>
    <d v="2019-09-01T00:00:00"/>
    <d v="2021-11-30T00:00:00"/>
    <n v="26667"/>
    <n v="8888.1111000000001"/>
  </r>
  <r>
    <n v="507776"/>
    <n v="208625"/>
    <x v="5"/>
    <s v="Slava,Epelman"/>
    <s v="EPELMAN, S MBDC2-2019-08"/>
    <s v="UHN"/>
    <d v="2019-09-01T00:00:00"/>
    <d v="2021-11-30T00:00:00"/>
    <n v="56666"/>
    <n v="18886.7778"/>
  </r>
  <r>
    <n v="507776"/>
    <n v="208628"/>
    <x v="5"/>
    <s v="Phyllis,Billia"/>
    <s v="BILLIA"/>
    <s v="UHN"/>
    <d v="2019-09-01T00:00:00"/>
    <d v="2021-11-30T00:00:00"/>
    <n v="26666"/>
    <n v="8887.7777999999998"/>
  </r>
  <r>
    <n v="507776"/>
    <n v="208628"/>
    <x v="5"/>
    <s v="Phyllis,Billia"/>
    <s v="BILLIA, F MBCD2-2019-08"/>
    <s v="UHN"/>
    <d v="2019-09-01T00:00:00"/>
    <d v="2021-11-30T00:00:00"/>
    <n v="56668"/>
    <n v="18887.4444"/>
  </r>
  <r>
    <n v="507776"/>
    <n v="208808"/>
    <x v="5"/>
    <s v="Mathieu,Lupien"/>
    <s v="Mathieu Lupien"/>
    <s v="UHN"/>
    <d v="2019-09-01T00:00:00"/>
    <d v="2021-11-30T00:00:00"/>
    <n v="22400"/>
    <n v="7465.92"/>
  </r>
  <r>
    <n v="507776"/>
    <n v="208808"/>
    <x v="5"/>
    <s v="Mathieu,Lupien"/>
    <s v="LUPIEN, M MBDC2-2019-08 "/>
    <s v="UHN"/>
    <d v="2019-09-01T00:00:00"/>
    <d v="2021-11-30T00:00:00"/>
    <n v="47600"/>
    <n v="15865.08"/>
  </r>
  <r>
    <n v="507776"/>
    <n v="209476"/>
    <x v="5"/>
    <s v="Philip,Awadalla"/>
    <s v="Philip Awadalla"/>
    <s v="Campus"/>
    <d v="2019-09-01T00:00:00"/>
    <d v="2021-11-30T00:00:00"/>
    <n v="22400"/>
    <n v="7465.92"/>
  </r>
  <r>
    <n v="507776"/>
    <n v="209476"/>
    <x v="5"/>
    <s v="Philip,Awadalla"/>
    <s v="AWADALLA, P MBDC2-2019-08"/>
    <s v="Campus"/>
    <d v="2019-09-01T00:00:00"/>
    <d v="2021-11-30T00:00:00"/>
    <n v="47600"/>
    <n v="15865.08"/>
  </r>
  <r>
    <n v="507776"/>
    <n v="209711"/>
    <x v="5"/>
    <s v="Steven,Chan"/>
    <s v="Steven Chan"/>
    <s v="UHN"/>
    <d v="2019-09-01T00:00:00"/>
    <d v="2021-11-30T00:00:00"/>
    <n v="26667"/>
    <n v="8888.1111000000001"/>
  </r>
  <r>
    <n v="507776"/>
    <n v="209711"/>
    <x v="5"/>
    <s v="Steven,Chan"/>
    <s v="CHAN, S MBDC2-2019-08"/>
    <s v="UHN"/>
    <d v="2019-09-01T00:00:00"/>
    <d v="2021-11-30T00:00:00"/>
    <n v="56666"/>
    <n v="18886.7778"/>
  </r>
  <r>
    <n v="507776"/>
    <n v="211377"/>
    <x v="5"/>
    <s v="John,Dick"/>
    <s v="John Dick"/>
    <s v="UHN"/>
    <d v="2019-09-01T00:00:00"/>
    <d v="2021-11-30T00:00:00"/>
    <n v="19200"/>
    <n v="6399.36"/>
  </r>
  <r>
    <n v="507776"/>
    <n v="211377"/>
    <x v="5"/>
    <s v="John,Dick"/>
    <s v="DICK, J MBDC2-2019-08"/>
    <s v="UHN"/>
    <d v="2019-09-01T00:00:00"/>
    <d v="2021-11-30T00:00:00"/>
    <n v="40800"/>
    <n v="13598.64"/>
  </r>
  <r>
    <n v="507776"/>
    <n v="211963"/>
    <x v="5"/>
    <s v="Gary,Bader"/>
    <s v="Gary Bader"/>
    <s v="Campus"/>
    <d v="2019-09-01T00:00:00"/>
    <d v="2021-11-30T00:00:00"/>
    <n v="16000"/>
    <n v="5332.8"/>
  </r>
  <r>
    <n v="507776"/>
    <n v="211963"/>
    <x v="5"/>
    <s v="Gary,Bader"/>
    <s v="BADER, G MBDC2-2019-08"/>
    <s v="Campus"/>
    <d v="2019-09-01T00:00:00"/>
    <d v="2021-11-30T00:00:00"/>
    <n v="34000"/>
    <n v="11332.199999999999"/>
  </r>
  <r>
    <n v="507777"/>
    <n v="203561"/>
    <x v="5"/>
    <s v="Tom,Waddell"/>
    <s v="Tom Waddell"/>
    <s v="UHN"/>
    <d v="2019-09-01T00:00:00"/>
    <d v="2021-11-30T00:00:00"/>
    <n v="28475"/>
    <n v="9490.7174999999988"/>
  </r>
  <r>
    <n v="507777"/>
    <n v="203561"/>
    <x v="5"/>
    <s v="Tom,Waddell"/>
    <s v="WADDELL, T MBDC2-2019-09"/>
    <s v="UHN"/>
    <d v="2019-09-01T00:00:00"/>
    <d v="2021-11-30T00:00:00"/>
    <n v="60589"/>
    <n v="20194.313699999999"/>
  </r>
  <r>
    <n v="507777"/>
    <n v="203628"/>
    <x v="5"/>
    <s v="Shaf,Keshavjee"/>
    <s v="Shafique Keshavjee"/>
    <s v="UHN"/>
    <d v="2019-09-01T00:00:00"/>
    <d v="2021-11-30T00:00:00"/>
    <n v="64686"/>
    <n v="21559.843799999999"/>
  </r>
  <r>
    <n v="507777"/>
    <n v="203628"/>
    <x v="5"/>
    <s v="Shaf,Keshavjee"/>
    <s v="KESHAVJEE, S MBDC2-2019-09"/>
    <s v="UHN"/>
    <d v="2019-09-01T00:00:00"/>
    <d v="2021-11-30T00:00:00"/>
    <n v="136844"/>
    <n v="45610.105199999998"/>
  </r>
  <r>
    <n v="507777"/>
    <n v="206121"/>
    <x v="5"/>
    <s v="Cristina,Amon"/>
    <s v="Cristina Amon"/>
    <s v="Campus"/>
    <d v="2019-09-01T00:00:00"/>
    <d v="2021-11-30T00:00:00"/>
    <n v="34260"/>
    <n v="11418.858"/>
  </r>
  <r>
    <n v="507777"/>
    <n v="206121"/>
    <x v="5"/>
    <s v="Cristina,Amon"/>
    <s v="AMON, C MBDC2-2019-09"/>
    <s v="Campus"/>
    <d v="2019-09-01T00:00:00"/>
    <d v="2021-11-30T00:00:00"/>
    <n v="80580"/>
    <n v="26857.313999999998"/>
  </r>
  <r>
    <n v="507777"/>
    <n v="206470"/>
    <x v="5"/>
    <s v="Aimy,Bazylak"/>
    <s v="Aimy Bazylak"/>
    <s v="Campus"/>
    <d v="2019-09-01T00:00:00"/>
    <d v="2021-11-30T00:00:00"/>
    <n v="17265"/>
    <n v="5754.4245000000001"/>
  </r>
  <r>
    <n v="507777"/>
    <n v="206470"/>
    <x v="5"/>
    <s v="Aimy,Bazylak"/>
    <s v="BAZYLAK, A MBDC2-2019-09"/>
    <s v="Campus"/>
    <d v="2019-09-01T00:00:00"/>
    <d v="2021-11-30T00:00:00"/>
    <n v="36735"/>
    <n v="12243.7755"/>
  </r>
  <r>
    <n v="507777"/>
    <n v="208815"/>
    <x v="5"/>
    <s v="Marcelo,Cypel"/>
    <s v="Marcelo Cypel"/>
    <s v="UHN"/>
    <d v="2019-09-01T00:00:00"/>
    <d v="2021-11-30T00:00:00"/>
    <n v="15314"/>
    <n v="5104.1561999999994"/>
  </r>
  <r>
    <n v="507777"/>
    <n v="208815"/>
    <x v="5"/>
    <s v="Marcelo,Cypel"/>
    <s v="CYPEL, M MBDC2-2019-09 "/>
    <s v="UHN"/>
    <d v="2019-09-01T00:00:00"/>
    <d v="2021-11-30T00:00:00"/>
    <n v="32926"/>
    <n v="10974.2358"/>
  </r>
  <r>
    <n v="507778"/>
    <n v="207444"/>
    <x v="5"/>
    <s v="Sidhartha,Goyal"/>
    <s v="GOYAL, S MBDC2-2019-20"/>
    <s v="Campus"/>
    <d v="2019-09-01T00:00:00"/>
    <d v="2021-11-30T00:00:00"/>
    <n v="50000"/>
    <n v="16665"/>
  </r>
  <r>
    <n v="507778"/>
    <n v="210089"/>
    <x v="5"/>
    <s v="Jeff,Wrana"/>
    <s v="Jeff Wrana"/>
    <s v="SHS"/>
    <d v="2019-09-01T00:00:00"/>
    <d v="2021-11-30T00:00:00"/>
    <n v="80000"/>
    <n v="26664"/>
  </r>
  <r>
    <n v="507778"/>
    <n v="210089"/>
    <x v="5"/>
    <s v="Jeff,Wrana"/>
    <s v="WRANA, J  MBDC2-2019-20"/>
    <s v="SHS"/>
    <d v="2019-09-01T00:00:00"/>
    <d v="2021-11-30T00:00:00"/>
    <n v="89000"/>
    <n v="29663.699999999997"/>
  </r>
  <r>
    <n v="507778"/>
    <n v="210174"/>
    <x v="5"/>
    <s v="Ben,Blencowe"/>
    <s v="BLENCOWE, B MBDC2-2019-20"/>
    <s v="Campus"/>
    <d v="2019-09-01T00:00:00"/>
    <d v="2021-11-30T00:00:00"/>
    <n v="66000"/>
    <n v="21997.8"/>
  </r>
  <r>
    <n v="507778"/>
    <n v="211058"/>
    <x v="5"/>
    <s v="Liliana,Attisano"/>
    <s v="ATTISANO, L MBDC2-2019-20"/>
    <s v="Campus"/>
    <d v="2019-09-01T00:00:00"/>
    <d v="2021-11-30T00:00:00"/>
    <n v="76000"/>
    <n v="25330.799999999999"/>
  </r>
  <r>
    <n v="507778"/>
    <n v="212343"/>
    <x v="5"/>
    <s v="Laurence,Pelletier"/>
    <s v="Lawrence Pelletier"/>
    <s v="SHS"/>
    <d v="2019-09-01T00:00:00"/>
    <d v="2021-11-30T00:00:00"/>
    <n v="80000"/>
    <n v="26664"/>
  </r>
  <r>
    <n v="507778"/>
    <n v="212343"/>
    <x v="5"/>
    <s v="Laurence,Pelletier"/>
    <s v="PELLETIER, L MBDC2-2019-20"/>
    <s v="SHS"/>
    <d v="2019-09-01T00:00:00"/>
    <d v="2021-11-30T00:00:00"/>
    <n v="59000"/>
    <n v="19664.7"/>
  </r>
  <r>
    <n v="507779"/>
    <n v="200037"/>
    <x v="5"/>
    <s v="Juan Carlos,Zúñiga-Pflücker"/>
    <s v="ZUNIGA, JC MBDC2-2019-11"/>
    <s v="SRI"/>
    <d v="2019-09-01T00:00:00"/>
    <d v="2021-11-30T00:00:00"/>
    <n v="95000"/>
    <n v="31663.5"/>
  </r>
  <r>
    <n v="507779"/>
    <n v="208609"/>
    <x v="5"/>
    <s v="Andras,Nagy"/>
    <s v="NAGY, A MBDC2-2019-11 "/>
    <s v="SHS"/>
    <d v="2019-09-01T00:00:00"/>
    <d v="2021-11-30T00:00:00"/>
    <n v="200000"/>
    <n v="66660"/>
  </r>
  <r>
    <n v="507779"/>
    <n v="208616"/>
    <x v="5"/>
    <s v="Cristina,Nostro"/>
    <s v="NOSTRO, C MBDC2-2019-11"/>
    <s v="UHN"/>
    <d v="2019-09-01T00:00:00"/>
    <d v="2021-11-30T00:00:00"/>
    <n v="80000"/>
    <n v="26664"/>
  </r>
  <r>
    <n v="507779"/>
    <n v="208630"/>
    <x v="5"/>
    <s v="Naoto,Hirano"/>
    <s v="HIRANO, N MBDC2-2019-11"/>
    <s v="UHN"/>
    <d v="2019-09-01T00:00:00"/>
    <d v="2021-11-30T00:00:00"/>
    <n v="75000"/>
    <n v="24997.5"/>
  </r>
  <r>
    <n v="507779"/>
    <n v="208631"/>
    <x v="5"/>
    <s v="Tracy,McGaha"/>
    <s v="MCGAHA, T MBDC2-2019-11"/>
    <s v="UHN"/>
    <d v="2019-09-01T00:00:00"/>
    <d v="2021-11-30T00:00:00"/>
    <n v="50000"/>
    <n v="16665"/>
  </r>
  <r>
    <n v="507779"/>
    <n v="208750"/>
    <x v="5"/>
    <s v="Sara,Vasconcelos"/>
    <s v="VASCONCELOS, S MBDC2-2019-11"/>
    <s v="UHN"/>
    <d v="2019-09-01T00:00:00"/>
    <d v="2021-11-30T00:00:00"/>
    <n v="70000"/>
    <n v="23331"/>
  </r>
  <r>
    <n v="507779"/>
    <n v="209346"/>
    <x v="5"/>
    <s v="Sarah,Crome"/>
    <s v="CROME, S MBDC2-2019-11"/>
    <s v="UHN"/>
    <d v="2019-09-01T00:00:00"/>
    <d v="2021-11-30T00:00:00"/>
    <n v="80000"/>
    <n v="26664"/>
  </r>
  <r>
    <n v="507782"/>
    <n v="202616"/>
    <x v="0"/>
    <s v="Michael,Sefton"/>
    <s v="Michael Sefton Exec. Director Fund"/>
    <s v="Campus"/>
    <d v="2019-09-01T00:00:00"/>
    <d v="2022-06-30T00:00:00"/>
    <n v="300000"/>
    <n v="99990"/>
  </r>
  <r>
    <n v="508292"/>
    <n v="211058"/>
    <x v="5"/>
    <s v="Liliana,Attisano"/>
    <s v="ATTISANO, L ORGANOID "/>
    <s v="Campus"/>
    <d v="2019-09-01T00:00:00"/>
    <d v="2021-11-30T00:00:00"/>
    <n v="100000"/>
    <n v="3333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0">
  <r>
    <n v="499942"/>
    <n v="107525"/>
    <x v="0"/>
    <s v="DIRECTOR EXECUTIVE"/>
    <s v="EXEC DIRECTOR FUNDS"/>
    <s v="Campus"/>
    <d v="2015-09-01T00:00:00"/>
    <d v="2022-03-31T00:00:00"/>
    <n v="500000"/>
    <n v="166650"/>
  </r>
  <r>
    <n v="501333"/>
    <n v="207444"/>
    <x v="1"/>
    <s v="Sidhartha Goyal"/>
    <s v="Goyal,S CITPA-2016-01"/>
    <s v="Campus"/>
    <d v="2016-09-01T00:00:00"/>
    <d v="2019-12-31T00:00:00"/>
    <n v="-169.84"/>
    <n v="-56.607672000000001"/>
  </r>
  <r>
    <n v="501337"/>
    <n v="208379"/>
    <x v="1"/>
    <s v="Keith Pardee"/>
    <s v="Pardee, K CITPA-2016-06"/>
    <s v="Campus"/>
    <d v="2016-09-01T00:00:00"/>
    <d v="2019-08-31T00:00:00"/>
    <n v="-47.3"/>
    <n v="-15.765089999999999"/>
  </r>
  <r>
    <n v="501337"/>
    <n v="208379"/>
    <x v="1"/>
    <s v="Keith Pardee"/>
    <s v="Pardee, K CITPA-2016-06"/>
    <s v="Campus"/>
    <d v="2016-09-01T00:00:00"/>
    <d v="2019-08-31T00:00:00"/>
    <n v="-70.84"/>
    <n v="-23.610972"/>
  </r>
  <r>
    <n v="501339"/>
    <n v="208379"/>
    <x v="1"/>
    <s v="Keith Pardee"/>
    <s v="Pardee, K CITPA-2016-10"/>
    <s v="Campus"/>
    <d v="2016-09-01T00:00:00"/>
    <d v="2020-04-30T00:00:00"/>
    <n v="-4.21"/>
    <n v="-1.4031929999999999"/>
  </r>
  <r>
    <n v="501339"/>
    <n v="208379"/>
    <x v="1"/>
    <s v="Keith Pardee"/>
    <s v="Pardee, K CITPA-2016-10"/>
    <s v="Campus"/>
    <d v="2016-09-01T00:00:00"/>
    <d v="2020-04-30T00:00:00"/>
    <n v="-338.46"/>
    <n v="-112.80871799999998"/>
  </r>
  <r>
    <n v="502535"/>
    <n v="208616"/>
    <x v="2"/>
    <s v="Cristina Nostro"/>
    <s v="NOSTRO C MPDF-2017-02"/>
    <s v="UHN"/>
    <d v="2017-12-01T00:00:00"/>
    <d v="2020-12-31T00:00:00"/>
    <n v="33333"/>
    <n v="11109.8889"/>
  </r>
  <r>
    <n v="504320"/>
    <n v="205554"/>
    <x v="2"/>
    <s v="Craig Simmons"/>
    <s v="SIMMONS C MPDF-2018"/>
    <s v="Campus"/>
    <d v="2018-05-01T00:00:00"/>
    <d v="2021-03-31T00:00:00"/>
    <n v="50000"/>
    <n v="16665"/>
  </r>
  <r>
    <n v="504321"/>
    <n v="205839"/>
    <x v="2"/>
    <s v="Aaron Wheeler"/>
    <s v="WHEELER A MPDF-2018"/>
    <s v="Campus"/>
    <d v="2018-04-01T00:00:00"/>
    <d v="2021-03-31T00:00:00"/>
    <n v="50000"/>
    <n v="16665"/>
  </r>
  <r>
    <n v="504322"/>
    <n v="208617"/>
    <x v="2"/>
    <s v="Tae-Hee Kim"/>
    <s v="KIM T   MPDF-2018"/>
    <s v="HSC"/>
    <d v="2018-05-01T00:00:00"/>
    <d v="2021-07-31T00:00:00"/>
    <n v="50000"/>
    <n v="16665"/>
  </r>
  <r>
    <n v="504839"/>
    <n v="209210"/>
    <x v="3"/>
    <s v="Yun LI"/>
    <s v="LI Y      CFREF-2017"/>
    <s v="HSC"/>
    <d v="2017-12-01T00:00:00"/>
    <d v="2021-11-30T00:00:00"/>
    <n v="87240"/>
    <n v="29077.091999999997"/>
  </r>
  <r>
    <n v="504875"/>
    <n v="209210"/>
    <x v="3"/>
    <s v="Yun LI"/>
    <s v="LI Y      CFREF-2017"/>
    <s v="HSC"/>
    <d v="2017-12-01T00:00:00"/>
    <d v="2021-11-30T00:00:00"/>
    <n v="47500"/>
    <n v="15831.75"/>
  </r>
  <r>
    <n v="505082"/>
    <n v="212504"/>
    <x v="2"/>
    <s v="Freda Miller"/>
    <s v="MILLER F MPDF-2018"/>
    <s v="HSC"/>
    <d v="2018-04-01T00:00:00"/>
    <d v="2021-03-31T00:00:00"/>
    <n v="50000"/>
    <n v="16665"/>
  </r>
  <r>
    <n v="505362"/>
    <n v="209346"/>
    <x v="3"/>
    <s v="Sarah Crome"/>
    <s v="CROME S   CFREF-2018"/>
    <s v="UHN"/>
    <d v="2018-07-01T00:00:00"/>
    <d v="2021-06-30T00:00:00"/>
    <n v="150000"/>
    <n v="49995"/>
  </r>
  <r>
    <n v="505749"/>
    <n v="209403"/>
    <x v="3"/>
    <s v="Stephanie Protze"/>
    <s v="PROTZE S  CFREF-2018"/>
    <s v="UHN"/>
    <d v="2018-08-01T00:00:00"/>
    <d v="2021-07-31T00:00:00"/>
    <n v="62500"/>
    <n v="20831.25"/>
  </r>
  <r>
    <n v="506448"/>
    <n v="208217"/>
    <x v="2"/>
    <s v="Mikko Taipale"/>
    <s v="TAIPALE M MPDF-2019"/>
    <s v="Campus"/>
    <d v="2019-04-01T00:00:00"/>
    <d v="2021-03-31T00:00:00"/>
    <n v="50000"/>
    <n v="16665"/>
  </r>
  <r>
    <n v="506449"/>
    <n v="203820"/>
    <x v="2"/>
    <s v="Cindi Morshead"/>
    <s v="MORSHEAD C MPDF-2019"/>
    <s v="Campus"/>
    <d v="2019-04-01T00:00:00"/>
    <d v="2021-03-31T00:00:00"/>
    <n v="50000"/>
    <n v="16665"/>
  </r>
  <r>
    <n v="506450"/>
    <n v="208620"/>
    <x v="2"/>
    <s v="Daniel Schramek"/>
    <s v="SCHRAMEK D MPDF-2019"/>
    <s v="SHS"/>
    <d v="2019-04-01T00:00:00"/>
    <d v="2022-03-31T00:00:00"/>
    <n v="50000"/>
    <n v="16665"/>
  </r>
  <r>
    <n v="506451"/>
    <n v="207233"/>
    <x v="2"/>
    <s v="Penney Gilbert"/>
    <s v="GILBERT P MPDF-2019"/>
    <s v="Campus"/>
    <d v="2019-04-01T00:00:00"/>
    <d v="2022-03-31T00:00:00"/>
    <n v="50000"/>
    <n v="16665"/>
  </r>
  <r>
    <n v="506456"/>
    <n v="207032"/>
    <x v="4"/>
    <s v="Bebhinn Treanor"/>
    <s v="Treanor, B MbDNI-2019-01"/>
    <s v="Campus"/>
    <d v="2019-04-01T00:00:00"/>
    <d v="2021-12-31T00:00:00"/>
    <n v="50000"/>
    <n v="16665"/>
  </r>
  <r>
    <n v="506456"/>
    <n v="209438"/>
    <x v="4"/>
    <s v="Leo Chou"/>
    <s v="Chou, L MbDNI-2019-01"/>
    <s v="Campus"/>
    <d v="2019-04-01T00:00:00"/>
    <d v="2021-12-31T00:00:00"/>
    <n v="50000"/>
    <n v="16665"/>
  </r>
  <r>
    <n v="506457"/>
    <n v="208406"/>
    <x v="4"/>
    <s v="Robert Hamilton"/>
    <s v="HAMILTON R MBDNI-2018"/>
    <s v="HSC"/>
    <d v="2019-04-01T00:00:00"/>
    <d v="2021-06-30T00:00:00"/>
    <n v="25000"/>
    <n v="8332.5"/>
  </r>
  <r>
    <n v="506457"/>
    <n v="212361"/>
    <x v="4"/>
    <s v="Sachdev Sidhu"/>
    <s v="SIDHU S HAMILTON R MBDNI-201"/>
    <s v="Campus"/>
    <d v="2019-04-01T00:00:00"/>
    <d v="2021-06-30T00:00:00"/>
    <n v="75000"/>
    <n v="24997.5"/>
  </r>
  <r>
    <n v="506458"/>
    <n v="205547"/>
    <x v="4"/>
    <s v="Yu Sun"/>
    <s v="SUN, Y HOPYAN MBDNI-2019"/>
    <s v="Campus"/>
    <d v="2019-04-01T00:00:00"/>
    <d v="2021-06-30T00:00:00"/>
    <n v="26980"/>
    <n v="8992.4339999999993"/>
  </r>
  <r>
    <n v="506458"/>
    <n v="212183"/>
    <x v="4"/>
    <s v="Sevan Hopyan"/>
    <s v="HOPYAN, S MBDNI-2019"/>
    <s v="HSC"/>
    <d v="2019-04-01T00:00:00"/>
    <d v="2021-06-30T00:00:00"/>
    <n v="71385"/>
    <n v="23792.620499999997"/>
  </r>
  <r>
    <n v="506459"/>
    <n v="205993"/>
    <x v="4"/>
    <s v="Radhakrishnan Mahadevan"/>
    <s v="MAHADEVA R MBDNI-2018"/>
    <s v="Campus"/>
    <d v="2019-04-01T00:00:00"/>
    <d v="2021-06-30T00:00:00"/>
    <n v="36000"/>
    <n v="11998.8"/>
  </r>
  <r>
    <n v="506459"/>
    <n v="208379"/>
    <x v="4"/>
    <s v="Keith Pardee"/>
    <s v="PARDEE K MBDNI-2019"/>
    <s v="Campus"/>
    <d v="2019-04-01T00:00:00"/>
    <d v="2021-06-30T00:00:00"/>
    <n v="21000"/>
    <n v="6999.2999999999993"/>
  </r>
  <r>
    <n v="506459"/>
    <n v="208617"/>
    <x v="4"/>
    <s v="Tae-Hee Kim"/>
    <s v="KIM, T  MAHADEVAN MBDNI-2018"/>
    <s v="HSC"/>
    <d v="2019-04-01T00:00:00"/>
    <d v="2021-06-30T00:00:00"/>
    <n v="30000"/>
    <n v="9999"/>
  </r>
  <r>
    <n v="507637"/>
    <n v="206014"/>
    <x v="5"/>
    <s v="Anthony Gramolini"/>
    <s v="Gramolini, A MbDC2-2019-01"/>
    <s v="Campus"/>
    <d v="2019-09-01T00:00:00"/>
    <d v="2021-11-30T00:00:00"/>
    <n v="40800"/>
    <n v="13598.64"/>
  </r>
  <r>
    <n v="507637"/>
    <n v="207636"/>
    <x v="5"/>
    <s v="Hai-Ling Cheng"/>
    <s v="Cheng, H-L MbDC2-2019-01"/>
    <s v="Campus"/>
    <d v="2019-09-01T00:00:00"/>
    <d v="2021-11-30T00:00:00"/>
    <n v="85000"/>
    <n v="28330.5"/>
  </r>
  <r>
    <n v="507637"/>
    <n v="208625"/>
    <x v="5"/>
    <s v="Slava Epelman"/>
    <s v="Epelman, S MbDC2-2019-01"/>
    <s v="UHN"/>
    <d v="2019-09-01T00:00:00"/>
    <d v="2021-11-30T00:00:00"/>
    <n v="63750"/>
    <n v="21247.875"/>
  </r>
  <r>
    <n v="507637"/>
    <n v="208728"/>
    <x v="5"/>
    <s v="Michael Laflamme"/>
    <s v="Laflamme, M MbDC2-2019-01"/>
    <s v="UHN"/>
    <d v="2019-09-01T00:00:00"/>
    <d v="2021-11-30T00:00:00"/>
    <n v="378100"/>
    <n v="126020.73"/>
  </r>
  <r>
    <n v="507637"/>
    <n v="209491"/>
    <x v="5"/>
    <s v="Nilesh Ghurgre"/>
    <s v="Ghugre, N MbDC2-2019-01"/>
    <s v="SRI"/>
    <d v="2019-09-01T00:00:00"/>
    <d v="2021-11-30T00:00:00"/>
    <n v="153000"/>
    <n v="50994.899999999994"/>
  </r>
  <r>
    <n v="507637"/>
    <n v="209660"/>
    <x v="5"/>
    <s v="Mark Friedberg"/>
    <s v="Friedberg, M MbDC2-2019-01"/>
    <s v="HSC"/>
    <d v="2019-09-01T00:00:00"/>
    <d v="2021-11-30T00:00:00"/>
    <n v="74800"/>
    <n v="24930.84"/>
  </r>
  <r>
    <n v="507637"/>
    <n v="211152"/>
    <x v="5"/>
    <s v="Scott Heximer"/>
    <s v="Heximer, S MbDC2-2019-01"/>
    <s v="Campus"/>
    <d v="2019-09-01T00:00:00"/>
    <d v="2021-11-30T00:00:00"/>
    <n v="40800"/>
    <n v="13598.64"/>
  </r>
  <r>
    <n v="507637"/>
    <n v="212636"/>
    <x v="5"/>
    <s v="Gordon Keller"/>
    <s v="Keller, G MbDC2-2019-01"/>
    <s v="UHN"/>
    <d v="2019-09-01T00:00:00"/>
    <d v="2021-11-30T00:00:00"/>
    <n v="63750"/>
    <n v="21247.875"/>
  </r>
  <r>
    <n v="507638"/>
    <n v="203770"/>
    <x v="5"/>
    <s v="Peter Zandstra"/>
    <s v="Zandstra, P MbDC2-2019-02"/>
    <s v="UBC"/>
    <d v="2019-09-01T00:00:00"/>
    <d v="2021-11-30T00:00:00"/>
    <n v="40000"/>
    <n v="13332"/>
  </r>
  <r>
    <n v="507638"/>
    <n v="203820"/>
    <x v="5"/>
    <s v="Cindi Morshead"/>
    <s v="Morshead, C MbDC2-2019-02"/>
    <s v="Campus"/>
    <d v="2019-09-01T00:00:00"/>
    <d v="2021-11-30T00:00:00"/>
    <n v="30000"/>
    <n v="9999"/>
  </r>
  <r>
    <n v="507638"/>
    <n v="206595"/>
    <x v="5"/>
    <s v="Alison McGuigan"/>
    <s v="Mcguigan, A MbDC2-2019-02"/>
    <s v="Campus"/>
    <d v="2019-09-01T00:00:00"/>
    <d v="2021-11-30T00:00:00"/>
    <n v="133750"/>
    <n v="44578.875"/>
  </r>
  <r>
    <n v="507638"/>
    <n v="207233"/>
    <x v="5"/>
    <s v="Penney Gilbert"/>
    <s v="Gilbert, P MbDC2-2019-02"/>
    <s v="Campus"/>
    <d v="2019-09-01T00:00:00"/>
    <d v="2021-11-30T00:00:00"/>
    <n v="133250"/>
    <n v="44412.224999999999"/>
  </r>
  <r>
    <n v="507638"/>
    <n v="207444"/>
    <x v="5"/>
    <s v="Sidhartha Goyal"/>
    <s v="Goyal, S MbDC2-2019-02"/>
    <s v="Campus"/>
    <d v="2019-09-01T00:00:00"/>
    <d v="2021-11-30T00:00:00"/>
    <n v="100000"/>
    <n v="33330"/>
  </r>
  <r>
    <n v="507638"/>
    <n v="209210"/>
    <x v="5"/>
    <s v="Yun LI"/>
    <s v="Li, Y MbDC2-2019-02"/>
    <s v="HSC"/>
    <d v="2019-09-01T00:00:00"/>
    <d v="2021-11-30T00:00:00"/>
    <n v="62000"/>
    <n v="20664.599999999999"/>
  </r>
  <r>
    <n v="507638"/>
    <n v="211256"/>
    <x v="5"/>
    <s v="David Kaplan"/>
    <s v="Kaplan, D MbDC2-2019-02"/>
    <s v="HSC"/>
    <d v="2019-09-01T00:00:00"/>
    <d v="2021-11-30T00:00:00"/>
    <n v="132500"/>
    <n v="44162.25"/>
  </r>
  <r>
    <n v="507638"/>
    <n v="211963"/>
    <x v="5"/>
    <s v="Gary Bader"/>
    <s v="Bader, G MbDC2-2019-02"/>
    <s v="Campus"/>
    <d v="2019-09-01T00:00:00"/>
    <d v="2021-11-30T00:00:00"/>
    <n v="133500"/>
    <n v="44495.549999999996"/>
  </r>
  <r>
    <n v="507638"/>
    <n v="212504"/>
    <x v="5"/>
    <s v="Freda Miller"/>
    <s v="Miller, F MbDC2-2019-02"/>
    <s v="HSC"/>
    <d v="2019-09-01T00:00:00"/>
    <d v="2021-11-30T00:00:00"/>
    <n v="133500"/>
    <n v="44495.549999999996"/>
  </r>
  <r>
    <n v="507639"/>
    <n v="206147"/>
    <x v="5"/>
    <s v="Stephane Angers"/>
    <s v="Angers, S MbDC2-2019-03"/>
    <s v="Campus"/>
    <d v="2019-09-01T00:00:00"/>
    <d v="2021-11-30T00:00:00"/>
    <n v="240000"/>
    <n v="79992"/>
  </r>
  <r>
    <n v="507639"/>
    <n v="206205"/>
    <x v="5"/>
    <s v="Jason Moffat"/>
    <s v="Moffat, J MbDC2-2019-03"/>
    <s v="Campus"/>
    <d v="2019-09-01T00:00:00"/>
    <d v="2021-11-30T00:00:00"/>
    <n v="240000"/>
    <n v="79992"/>
  </r>
  <r>
    <n v="507639"/>
    <n v="206595"/>
    <x v="5"/>
    <s v="Alison McGuigan"/>
    <s v="Mcguigan, A MbDC2-2019-03"/>
    <s v="Campus"/>
    <d v="2019-09-01T00:00:00"/>
    <d v="2021-11-30T00:00:00"/>
    <n v="40000"/>
    <n v="13332"/>
  </r>
  <r>
    <n v="507639"/>
    <n v="208379"/>
    <x v="5"/>
    <s v="Keith Pardee"/>
    <s v="Pardee, K MbDC2-2019-03"/>
    <s v="Campus"/>
    <d v="2019-09-01T00:00:00"/>
    <d v="2021-11-30T00:00:00"/>
    <n v="80000"/>
    <n v="26664"/>
  </r>
  <r>
    <n v="507639"/>
    <n v="210174"/>
    <x v="5"/>
    <s v="Ben Blencowe"/>
    <s v="Blencowe, B MbDC2-2019-03"/>
    <s v="Campus"/>
    <d v="2019-09-01T00:00:00"/>
    <d v="2021-11-30T00:00:00"/>
    <n v="8750"/>
    <n v="2916.375"/>
  </r>
  <r>
    <n v="507639"/>
    <n v="210174"/>
    <x v="5"/>
    <s v="Ben Blencowe"/>
    <s v="Blencowe, B MbDC2-2019-03"/>
    <s v="Campus"/>
    <d v="2019-09-01T00:00:00"/>
    <d v="2021-11-30T00:00:00"/>
    <n v="80000"/>
    <n v="26664"/>
  </r>
  <r>
    <n v="507639"/>
    <n v="212065"/>
    <x v="5"/>
    <s v="Shana Kelley"/>
    <s v="Kelley, S MbDC2-2019-03"/>
    <s v="Campus"/>
    <d v="2019-09-01T00:00:00"/>
    <d v="2021-11-30T00:00:00"/>
    <n v="10000"/>
    <n v="3333"/>
  </r>
  <r>
    <n v="507639"/>
    <n v="212065"/>
    <x v="5"/>
    <s v="Shana Kelley"/>
    <s v="Kelley, S MbDC2-2019-03"/>
    <s v="Campus"/>
    <d v="2019-09-01T00:00:00"/>
    <d v="2021-11-30T00:00:00"/>
    <n v="275000"/>
    <n v="91657.5"/>
  </r>
  <r>
    <n v="507639"/>
    <n v="212361"/>
    <x v="5"/>
    <s v="Sachdev Sidhu"/>
    <s v="Sidhu, S MbDC2-2019-03"/>
    <s v="Campus"/>
    <d v="2019-09-01T00:00:00"/>
    <d v="2021-11-30T00:00:00"/>
    <n v="240000"/>
    <n v="79992"/>
  </r>
  <r>
    <n v="507641"/>
    <n v="203173"/>
    <x v="5"/>
    <s v="Isabelle Aubert"/>
    <s v="Aubert, I MbDC2-2019-04"/>
    <s v="SRI"/>
    <d v="2019-09-01T00:00:00"/>
    <d v="2021-11-30T00:00:00"/>
    <n v="61765"/>
    <n v="20586.2745"/>
  </r>
  <r>
    <n v="507641"/>
    <n v="203820"/>
    <x v="5"/>
    <s v="Cindi Morshead"/>
    <s v="Morshead, C MbDC2-2019-04"/>
    <s v="Campus"/>
    <d v="2019-09-01T00:00:00"/>
    <d v="2021-11-30T00:00:00"/>
    <n v="106595"/>
    <n v="35528.113499999999"/>
  </r>
  <r>
    <n v="507641"/>
    <n v="205592"/>
    <x v="5"/>
    <s v="Melanie Woodin"/>
    <s v="Woodin, M MbDC2-2019-04"/>
    <s v="Campus"/>
    <d v="2019-09-01T00:00:00"/>
    <d v="2021-11-30T00:00:00"/>
    <n v="32000"/>
    <n v="10665.6"/>
  </r>
  <r>
    <n v="507641"/>
    <n v="208897"/>
    <x v="5"/>
    <s v="Maryam Faiz"/>
    <s v="Faiz, M MbDC2-2019-04"/>
    <s v="Campus"/>
    <d v="2019-09-01T00:00:00"/>
    <d v="2021-11-30T00:00:00"/>
    <n v="73925"/>
    <n v="24639.202499999999"/>
  </r>
  <r>
    <n v="507641"/>
    <n v="208934"/>
    <x v="5"/>
    <s v="Carol Schuurmans"/>
    <s v="Shuurmans, C MbDC2-2019-04"/>
    <s v="SRI"/>
    <d v="2019-09-01T00:00:00"/>
    <d v="2021-11-30T00:00:00"/>
    <n v="58717"/>
    <n v="19570.376099999998"/>
  </r>
  <r>
    <n v="507642"/>
    <n v="200150"/>
    <x v="5"/>
    <s v="Myron Cybulsky"/>
    <s v="Cybulsky, M MbDC2-2019-05"/>
    <s v="UHN"/>
    <d v="2019-09-01T00:00:00"/>
    <d v="2021-11-30T00:00:00"/>
    <n v="85000"/>
    <n v="28330.5"/>
  </r>
  <r>
    <n v="507642"/>
    <n v="208607"/>
    <x v="5"/>
    <s v="Clint Robbins"/>
    <s v="Robbins, C MbDC2-2019-05"/>
    <s v="UHN"/>
    <d v="2019-09-01T00:00:00"/>
    <d v="2021-11-30T00:00:00"/>
    <n v="90000"/>
    <n v="29997"/>
  </r>
  <r>
    <n v="507642"/>
    <n v="212714"/>
    <x v="5"/>
    <s v="Jason Fish"/>
    <s v="Fish, J MbDC2-2019-05"/>
    <s v="UHN"/>
    <d v="2019-09-01T00:00:00"/>
    <d v="2021-11-30T00:00:00"/>
    <n v="85000"/>
    <n v="28330.5"/>
  </r>
  <r>
    <n v="507643"/>
    <n v="201921"/>
    <x v="5"/>
    <s v="Molly Shoichet"/>
    <s v="Shoichet, M MbDC2-2019-06"/>
    <s v="Campus"/>
    <d v="2019-09-01T00:00:00"/>
    <d v="2021-11-30T00:00:00"/>
    <n v="80000"/>
    <n v="26664"/>
  </r>
  <r>
    <n v="507643"/>
    <n v="208489"/>
    <x v="5"/>
    <s v="Julie Lefebvre"/>
    <s v="Lefebvre, J MbDC2-2019-06"/>
    <s v="HSC"/>
    <d v="2019-09-01T00:00:00"/>
    <d v="2021-11-30T00:00:00"/>
    <n v="75000"/>
    <n v="24997.5"/>
  </r>
  <r>
    <n v="507643"/>
    <n v="208810"/>
    <x v="5"/>
    <s v="Valerie Wallace"/>
    <s v="Wallace, V MbDC2-2019-06"/>
    <s v="UHN"/>
    <d v="2019-09-01T00:00:00"/>
    <d v="2021-11-30T00:00:00"/>
    <n v="100000"/>
    <n v="33330"/>
  </r>
  <r>
    <n v="507643"/>
    <n v="211134"/>
    <x v="5"/>
    <s v="Derek van der Kooy"/>
    <s v="Van Der Kooy, D MbDC2-2019-06"/>
    <s v="Campus"/>
    <d v="2019-09-01T00:00:00"/>
    <d v="2021-11-30T00:00:00"/>
    <n v="80000"/>
    <n v="26664"/>
  </r>
  <r>
    <n v="507693"/>
    <n v="201921"/>
    <x v="5"/>
    <s v="Molly Shoichet"/>
    <s v="Shoichet, M MbDC2-2019-07"/>
    <s v="Campus"/>
    <d v="2019-09-01T00:00:00"/>
    <d v="2021-11-30T00:00:00"/>
    <n v="66900"/>
    <n v="22297.77"/>
  </r>
  <r>
    <n v="507693"/>
    <n v="206130"/>
    <x v="5"/>
    <s v="Axel Guenther"/>
    <s v="Guenther, A MbDC2-2019-07"/>
    <s v="Campus"/>
    <d v="2019-09-01T00:00:00"/>
    <d v="2021-11-30T00:00:00"/>
    <n v="100350"/>
    <n v="33446.654999999999"/>
  </r>
  <r>
    <n v="507693"/>
    <n v="209184"/>
    <x v="5"/>
    <s v="Sonya MacParland"/>
    <s v="Macparland, S MbDC2-2019-07"/>
    <s v="UHN"/>
    <d v="2019-09-01T00:00:00"/>
    <d v="2021-11-30T00:00:00"/>
    <n v="108000"/>
    <n v="35996.400000000001"/>
  </r>
  <r>
    <n v="507693"/>
    <n v="209766"/>
    <x v="5"/>
    <s v="Shinichiro Ogawa"/>
    <s v="Ogawa, S MbDC2-2019-07"/>
    <s v="UHN"/>
    <d v="2019-09-01T00:00:00"/>
    <d v="2021-11-30T00:00:00"/>
    <n v="108123"/>
    <n v="36037.395899999996"/>
  </r>
  <r>
    <n v="507693"/>
    <n v="211063"/>
    <x v="5"/>
    <s v="Christine Bear"/>
    <s v="Bear, C MbDC2-2019-07"/>
    <s v="HSC"/>
    <d v="2019-09-01T00:00:00"/>
    <d v="2021-11-30T00:00:00"/>
    <n v="33450"/>
    <n v="11148.885"/>
  </r>
  <r>
    <n v="507693"/>
    <n v="211963"/>
    <x v="5"/>
    <s v="Gary Bader"/>
    <s v="Bader, G MbDC2-2019-07"/>
    <s v="Campus"/>
    <d v="2019-09-01T00:00:00"/>
    <d v="2021-11-30T00:00:00"/>
    <n v="33450"/>
    <n v="11148.885"/>
  </r>
  <r>
    <n v="507693"/>
    <n v="212636"/>
    <x v="5"/>
    <s v="Gordon Keller"/>
    <s v="Keller, G MbDC2-2019-07"/>
    <s v="UHN"/>
    <d v="2019-09-01T00:00:00"/>
    <d v="2021-11-30T00:00:00"/>
    <n v="108370"/>
    <n v="36119.720999999998"/>
  </r>
  <r>
    <n v="507693"/>
    <n v="212893"/>
    <x v="5"/>
    <s v="Ian McGilvray"/>
    <s v="McGilvray, I MbDC2-2019-07"/>
    <s v="UHN"/>
    <d v="2019-09-01T00:00:00"/>
    <d v="2021-11-30T00:00:00"/>
    <n v="108000"/>
    <n v="35996.400000000001"/>
  </r>
  <r>
    <n v="507776"/>
    <n v="208625"/>
    <x v="5"/>
    <s v="Slava Epelman"/>
    <s v="Epelman, S MbDC2-2019-09"/>
    <s v="UHN"/>
    <d v="2019-09-01T00:00:00"/>
    <d v="2021-11-30T00:00:00"/>
    <n v="83333"/>
    <n v="27774.888899999998"/>
  </r>
  <r>
    <n v="507776"/>
    <n v="208628"/>
    <x v="5"/>
    <s v="Phyllis Billia"/>
    <s v="Billia, P MbDC2-2019-09"/>
    <s v="UHN"/>
    <d v="2019-09-01T00:00:00"/>
    <d v="2021-11-30T00:00:00"/>
    <n v="83334"/>
    <n v="27775.2222"/>
  </r>
  <r>
    <n v="507776"/>
    <n v="208808"/>
    <x v="5"/>
    <s v="Mathieu Lupien"/>
    <s v="Lupien, M MbDC2-2019-09"/>
    <s v="UHN"/>
    <d v="2019-09-01T00:00:00"/>
    <d v="2021-11-30T00:00:00"/>
    <n v="70000"/>
    <n v="23331"/>
  </r>
  <r>
    <n v="507776"/>
    <n v="209476"/>
    <x v="5"/>
    <s v="Philip Awadalla"/>
    <s v="Awadalla, P MbDC2-2019-09"/>
    <s v="Campus"/>
    <d v="2019-09-01T00:00:00"/>
    <d v="2021-11-30T00:00:00"/>
    <n v="70000"/>
    <n v="23331"/>
  </r>
  <r>
    <n v="507776"/>
    <n v="209711"/>
    <x v="5"/>
    <s v="Steven Chan"/>
    <s v="Chan, S MbDC2-2019-09"/>
    <s v="UHN"/>
    <d v="2019-09-01T00:00:00"/>
    <d v="2021-11-30T00:00:00"/>
    <n v="83333"/>
    <n v="27774.888899999998"/>
  </r>
  <r>
    <n v="507776"/>
    <n v="211377"/>
    <x v="5"/>
    <s v="John Dick"/>
    <s v="Dick, J MbDC2-2019-09"/>
    <s v="UHN"/>
    <d v="2019-09-01T00:00:00"/>
    <d v="2021-11-30T00:00:00"/>
    <n v="60000"/>
    <n v="19998"/>
  </r>
  <r>
    <n v="507776"/>
    <n v="211963"/>
    <x v="5"/>
    <s v="Gary Bader"/>
    <s v="Bader, G MbDC2-2019-09"/>
    <s v="Campus"/>
    <d v="2019-09-01T00:00:00"/>
    <d v="2021-11-30T00:00:00"/>
    <n v="50000"/>
    <n v="16665"/>
  </r>
  <r>
    <n v="507777"/>
    <n v="203561"/>
    <x v="5"/>
    <s v="Tom Waddell"/>
    <s v="Waddell, T MbDC2-2019-10"/>
    <s v="UHN"/>
    <d v="2019-09-01T00:00:00"/>
    <d v="2021-11-30T00:00:00"/>
    <n v="89064"/>
    <n v="29685.031199999998"/>
  </r>
  <r>
    <n v="507777"/>
    <n v="203628"/>
    <x v="5"/>
    <s v="Shaf Keshavjee"/>
    <s v="Keshavjee, S MbDC2-2019-10"/>
    <s v="UHN"/>
    <d v="2019-09-01T00:00:00"/>
    <d v="2021-11-30T00:00:00"/>
    <n v="201530"/>
    <n v="67169.948999999993"/>
  </r>
  <r>
    <n v="507777"/>
    <n v="206121"/>
    <x v="5"/>
    <s v="Cristina Amon"/>
    <s v="Amon, C MbDC2-2019-10"/>
    <s v="Campus"/>
    <d v="2019-09-01T00:00:00"/>
    <d v="2021-11-30T00:00:00"/>
    <n v="103320"/>
    <n v="34436.555999999997"/>
  </r>
  <r>
    <n v="507777"/>
    <n v="206470"/>
    <x v="5"/>
    <s v="Aimy Bazylak"/>
    <s v="Bazylak, A MbDC2-2019-10"/>
    <s v="Campus"/>
    <d v="2019-09-01T00:00:00"/>
    <d v="2021-11-30T00:00:00"/>
    <n v="54000"/>
    <n v="17998.2"/>
  </r>
  <r>
    <n v="507777"/>
    <n v="208815"/>
    <x v="5"/>
    <s v="Marcelo Cypel"/>
    <s v="Cypel, M MbDC2-2019-10"/>
    <s v="UHN"/>
    <d v="2019-09-01T00:00:00"/>
    <d v="2021-11-30T00:00:00"/>
    <n v="48240"/>
    <n v="16078.392"/>
  </r>
  <r>
    <n v="507778"/>
    <n v="207444"/>
    <x v="5"/>
    <s v="Sidhartha Goyal"/>
    <s v="Goyal, S MbDC2-2019-08"/>
    <s v="Campus"/>
    <d v="2019-09-01T00:00:00"/>
    <d v="2021-11-30T00:00:00"/>
    <n v="50000"/>
    <n v="16665"/>
  </r>
  <r>
    <n v="507778"/>
    <n v="210089"/>
    <x v="5"/>
    <s v="Jeff Wrana"/>
    <s v="Wrana, J MbDC2-2019-08"/>
    <s v="SHS"/>
    <d v="2019-09-01T00:00:00"/>
    <d v="2021-11-30T00:00:00"/>
    <n v="26250"/>
    <n v="8749.125"/>
  </r>
  <r>
    <n v="507778"/>
    <n v="210089"/>
    <x v="5"/>
    <s v="Jeff Wrana"/>
    <s v="Wrana, J MbDC2-2019-08"/>
    <s v="SHS"/>
    <d v="2019-09-01T00:00:00"/>
    <d v="2021-11-30T00:00:00"/>
    <n v="169000"/>
    <n v="56327.7"/>
  </r>
  <r>
    <n v="507778"/>
    <n v="210174"/>
    <x v="5"/>
    <s v="Ben Blencowe"/>
    <s v="Blencowe,B MbDC2-2019-08"/>
    <s v="Campus"/>
    <d v="2019-09-01T00:00:00"/>
    <d v="2021-11-30T00:00:00"/>
    <n v="14250"/>
    <n v="4749.5249999999996"/>
  </r>
  <r>
    <n v="507778"/>
    <n v="210174"/>
    <x v="5"/>
    <s v="Ben Blencowe"/>
    <s v="Blencowe, B MbDC2-2019-08"/>
    <s v="Campus"/>
    <d v="2019-09-01T00:00:00"/>
    <d v="2021-11-30T00:00:00"/>
    <n v="66000"/>
    <n v="21997.8"/>
  </r>
  <r>
    <n v="507778"/>
    <n v="211058"/>
    <x v="5"/>
    <s v="Liliana Attisano"/>
    <s v="Attisano, L MbDC2-2019-08"/>
    <s v="Campus"/>
    <d v="2019-09-01T00:00:00"/>
    <d v="2021-11-30T00:00:00"/>
    <n v="11875"/>
    <n v="3957.9375"/>
  </r>
  <r>
    <n v="507778"/>
    <n v="211058"/>
    <x v="5"/>
    <s v="Liliana Attisano"/>
    <s v="Attisano, L MbDC2-2019-08"/>
    <s v="Campus"/>
    <d v="2019-09-01T00:00:00"/>
    <d v="2021-11-30T00:00:00"/>
    <n v="76000"/>
    <n v="25330.799999999999"/>
  </r>
  <r>
    <n v="507778"/>
    <n v="212343"/>
    <x v="5"/>
    <s v="Laurence Pelletier"/>
    <s v="Pelletier, L MbDC2-2019-08"/>
    <s v="SHS"/>
    <d v="2019-09-01T00:00:00"/>
    <d v="2021-11-30T00:00:00"/>
    <n v="25750"/>
    <n v="8582.4750000000004"/>
  </r>
  <r>
    <n v="507778"/>
    <n v="212343"/>
    <x v="5"/>
    <s v="Laurence Pelletier"/>
    <s v="Pelletier, L MbDC2-2019-08"/>
    <s v="SHS"/>
    <d v="2019-09-01T00:00:00"/>
    <d v="2021-11-30T00:00:00"/>
    <n v="139000"/>
    <n v="46328.7"/>
  </r>
  <r>
    <n v="507779"/>
    <n v="200037"/>
    <x v="5"/>
    <s v="Juan Carlos Zúñiga-Pflücker"/>
    <s v="Zuniga-Pflucker, J MbDC2-2020-11"/>
    <s v="SRI"/>
    <d v="2019-09-01T00:00:00"/>
    <d v="2021-11-30T00:00:00"/>
    <n v="95000"/>
    <n v="31663.5"/>
  </r>
  <r>
    <n v="507779"/>
    <n v="208609"/>
    <x v="5"/>
    <s v="Andras Nagy"/>
    <s v="Nagy, Andras MbDC2-2020-11"/>
    <s v="SHS"/>
    <d v="2019-09-01T00:00:00"/>
    <d v="2021-11-30T00:00:00"/>
    <n v="200000"/>
    <n v="66660"/>
  </r>
  <r>
    <n v="507779"/>
    <n v="208616"/>
    <x v="5"/>
    <s v="Cristina Nostro"/>
    <s v="Nostro, C MbDC2-2020-11"/>
    <s v="UHN"/>
    <d v="2019-09-01T00:00:00"/>
    <d v="2021-11-30T00:00:00"/>
    <n v="80000"/>
    <n v="26664"/>
  </r>
  <r>
    <n v="507779"/>
    <n v="208630"/>
    <x v="5"/>
    <s v="Naoto Hirano"/>
    <s v="Hirano, N MbDC2-2020-11"/>
    <s v="UHN"/>
    <d v="2019-09-01T00:00:00"/>
    <d v="2021-11-30T00:00:00"/>
    <n v="75000"/>
    <n v="24997.5"/>
  </r>
  <r>
    <n v="507779"/>
    <n v="208631"/>
    <x v="5"/>
    <s v="Tracy McGaha"/>
    <s v="Mcgaha, L MbDC2-2020-11"/>
    <s v="UHN"/>
    <d v="2019-09-01T00:00:00"/>
    <d v="2021-11-30T00:00:00"/>
    <n v="50000"/>
    <n v="16665"/>
  </r>
  <r>
    <n v="507779"/>
    <n v="208750"/>
    <x v="5"/>
    <s v="Sara Vasconcelos"/>
    <s v="Vasconcelos, S MbDC2-2020-11"/>
    <s v="UHN"/>
    <d v="2019-09-01T00:00:00"/>
    <d v="2021-11-30T00:00:00"/>
    <n v="70000"/>
    <n v="23331"/>
  </r>
  <r>
    <n v="507779"/>
    <n v="209346"/>
    <x v="5"/>
    <s v="Sarah Crome"/>
    <s v="Crome, S MbDC2-2020-11"/>
    <s v="UHN"/>
    <d v="2019-09-01T00:00:00"/>
    <d v="2021-11-30T00:00:00"/>
    <n v="80000"/>
    <n v="26664"/>
  </r>
  <r>
    <n v="507782"/>
    <n v="202616"/>
    <x v="0"/>
    <s v="Michael Sefton"/>
    <s v="SEFTON M "/>
    <s v="Campus"/>
    <d v="2019-09-01T00:00:00"/>
    <d v="2022-06-30T00:00:00"/>
    <n v="300000"/>
    <n v="99990"/>
  </r>
  <r>
    <n v="508292"/>
    <n v="211058"/>
    <x v="5"/>
    <s v="Liliana Attisano"/>
    <s v="Attisano, L MBDC2-2019-11"/>
    <s v="Campus"/>
    <d v="2019-09-01T00:00:00"/>
    <d v="2021-11-30T00:00:00"/>
    <n v="18750"/>
    <n v="6249.375"/>
  </r>
  <r>
    <n v="508292"/>
    <n v="211058"/>
    <x v="5"/>
    <s v="Liliana Attisano"/>
    <s v="Attisano, L MbDC2-2019-11"/>
    <s v="Campus"/>
    <d v="2019-09-01T00:00:00"/>
    <d v="2021-11-30T00:00:00"/>
    <n v="100000"/>
    <n v="33330"/>
  </r>
  <r>
    <n v="509180"/>
    <n v="209792"/>
    <x v="3"/>
    <s v="Omar Khan"/>
    <s v="KHAN, O CFREF-2020"/>
    <s v="Campus"/>
    <d v="2020-05-01T00:00:00"/>
    <d v="2022-09-01T00:00:00"/>
    <n v="165101"/>
    <n v="55028.1633"/>
  </r>
  <r>
    <n v="509181"/>
    <n v="209792"/>
    <x v="3"/>
    <s v="Omar Khan"/>
    <s v="KHAN, O CFREF-2020"/>
    <s v="Campus"/>
    <d v="2020-05-01T00:00:00"/>
    <d v="2022-09-01T00:00:00"/>
    <n v="608571"/>
    <n v="202836.71429999999"/>
  </r>
  <r>
    <n v="509181"/>
    <n v="209792"/>
    <x v="3"/>
    <s v="Omar Khan"/>
    <s v="KHAN, O CFREF-2020"/>
    <s v="Campus"/>
    <d v="2020-05-01T00:00:00"/>
    <d v="2022-09-01T00:00:00"/>
    <n v="-445000"/>
    <n v="-148318.5"/>
  </r>
  <r>
    <n v="509181"/>
    <n v="209792"/>
    <x v="3"/>
    <s v="Omar Khan"/>
    <s v="KHAN, O CFREF-2020"/>
    <s v="Campus"/>
    <d v="2020-05-01T00:00:00"/>
    <d v="2022-09-01T00:00:00"/>
    <n v="445000"/>
    <n v="148318.5"/>
  </r>
  <r>
    <n v="509284"/>
    <n v="206595"/>
    <x v="2"/>
    <s v="Alison McGuigan"/>
    <s v="MCGUIGAN, A MPDF 2020-03"/>
    <s v="Campus"/>
    <d v="2020-07-01T00:00:00"/>
    <d v="2022-06-30T00:00:00"/>
    <n v="75000"/>
    <n v="24997.5"/>
  </r>
  <r>
    <n v="509285"/>
    <n v="209801"/>
    <x v="2"/>
    <s v="Julien Muffat"/>
    <s v="MUFFAT, J MPDF-2020-01"/>
    <s v="HSC"/>
    <d v="2020-07-01T00:00:00"/>
    <d v="2022-06-30T00:00:00"/>
    <n v="75000"/>
    <n v="24997.5"/>
  </r>
  <r>
    <n v="509588"/>
    <n v="208607"/>
    <x v="2"/>
    <s v="Clint Robbins"/>
    <s v="ROBBINS,C MPDF-2020-02"/>
    <s v="UHN"/>
    <d v="2020-07-01T00:00:00"/>
    <d v="2022-06-30T00:00:00"/>
    <n v="75000"/>
    <n v="24997.5"/>
  </r>
  <r>
    <n v="509589"/>
    <n v="212183"/>
    <x v="2"/>
    <s v="Sevan Hopyan"/>
    <s v="HOPYAN, S MPDF 2020-04"/>
    <s v="HSC"/>
    <d v="2020-09-01T00:00:00"/>
    <d v="2022-08-31T00:00:00"/>
    <n v="75000"/>
    <n v="24997.5"/>
  </r>
  <r>
    <n v="509633"/>
    <n v="209400"/>
    <x v="4"/>
    <s v="Michael Garton"/>
    <s v="Garton, M MbDNISF-2020-02"/>
    <s v="Campus"/>
    <d v="2020-08-01T00:00:00"/>
    <d v="2021-07-31T00:00:00"/>
    <n v="100000"/>
    <n v="33330"/>
  </r>
  <r>
    <n v="509633"/>
    <n v="209400"/>
    <x v="4"/>
    <s v="Michael Garton"/>
    <s v="Garton, M MbDNISF-2020-02"/>
    <s v="Campus"/>
    <d v="2020-08-01T00:00:00"/>
    <d v="2021-07-31T00:00:00"/>
    <n v="-64100"/>
    <n v="-21364.53"/>
  </r>
  <r>
    <n v="509633"/>
    <n v="209400"/>
    <x v="4"/>
    <s v="Michael Garton"/>
    <s v="Garton, M MbDNISF-2020-02"/>
    <s v="Campus"/>
    <d v="2020-08-01T00:00:00"/>
    <d v="2021-07-31T00:00:00"/>
    <n v="64100"/>
    <n v="21364.53"/>
  </r>
  <r>
    <n v="509653"/>
    <n v="207233"/>
    <x v="4"/>
    <s v="Penney Gilbert"/>
    <s v="Gilbert, P MbDNI-2020-02"/>
    <s v="Campus"/>
    <d v="2020-08-01T00:00:00"/>
    <d v="2021-07-31T00:00:00"/>
    <n v="10000"/>
    <n v="3333"/>
  </r>
  <r>
    <n v="509653"/>
    <n v="209194"/>
    <x v="4"/>
    <s v="Hyun (Kate) Lee"/>
    <s v="Lee, H MbDNI-2020-02"/>
    <s v="Campus"/>
    <d v="2020-08-01T00:00:00"/>
    <d v="2021-07-31T00:00:00"/>
    <n v="90000"/>
    <n v="29997"/>
  </r>
  <r>
    <n v="509666"/>
    <n v="208489"/>
    <x v="4"/>
    <s v="Julie Lefebvre"/>
    <s v="Lefebvre, J MbDNI-2020-01"/>
    <s v="HSC"/>
    <d v="2020-08-01T00:00:00"/>
    <d v="2021-07-31T00:00:00"/>
    <n v="33000"/>
    <n v="10998.9"/>
  </r>
  <r>
    <n v="509666"/>
    <n v="208810"/>
    <x v="4"/>
    <s v="Valerie Wallace"/>
    <s v="Wallace, V MbDNI-2020-01"/>
    <s v="UHN"/>
    <d v="2020-08-01T00:00:00"/>
    <d v="2021-07-31T00:00:00"/>
    <n v="23000"/>
    <n v="7665.9"/>
  </r>
  <r>
    <n v="509666"/>
    <n v="209438"/>
    <x v="4"/>
    <s v="Leo Chou"/>
    <s v="Chou, L MbDNI-2020-01"/>
    <s v="Campus"/>
    <d v="2020-08-01T00:00:00"/>
    <d v="2021-07-31T00:00:00"/>
    <n v="44000"/>
    <n v="14665.199999999999"/>
  </r>
  <r>
    <n v="509667"/>
    <n v="209936"/>
    <x v="4"/>
    <e v="#N/A"/>
    <s v="Wong, A MbDNI-2020-03"/>
    <s v="HSC"/>
    <d v="2020-08-01T00:00:00"/>
    <d v="2022-07-31T00:00:00"/>
    <n v="100000"/>
    <n v="33330"/>
  </r>
  <r>
    <n v="509703"/>
    <n v="200483"/>
    <x v="4"/>
    <s v="Philip Sherman"/>
    <s v="Sherman, P MbDNISF-2020-01"/>
    <s v="HSC"/>
    <d v="2020-08-01T00:00:00"/>
    <d v="2021-07-31T00:00:00"/>
    <n v="20000"/>
    <n v="6666"/>
  </r>
  <r>
    <n v="509703"/>
    <n v="209946"/>
    <x v="4"/>
    <s v="Agostino Pierro"/>
    <s v="Pierro, A MbDNISF-2020-01"/>
    <s v="HSC"/>
    <d v="2020-08-01T00:00:00"/>
    <d v="2021-07-31T00:00:00"/>
    <n v="80000"/>
    <n v="26664"/>
  </r>
  <r>
    <n v="509882"/>
    <n v="206244"/>
    <x v="4"/>
    <s v="William Navarre"/>
    <s v="Navarre, W MbDNISF-2020-04"/>
    <s v="Campus"/>
    <d v="2020-08-01T00:00:00"/>
    <d v="2022-01-31T00:00:00"/>
    <n v="19335"/>
    <n v="6444.3554999999997"/>
  </r>
  <r>
    <n v="509882"/>
    <n v="208725"/>
    <x v="4"/>
    <s v="Jason Maynes"/>
    <s v="Maynes, J MbDNISF-2020-04"/>
    <s v="HSC"/>
    <d v="2020-08-01T00:00:00"/>
    <d v="2022-01-31T00:00:00"/>
    <n v="41300"/>
    <n v="13765.289999999999"/>
  </r>
  <r>
    <n v="509882"/>
    <n v="211534"/>
    <x v="4"/>
    <s v="John Parkinson"/>
    <s v="Parkinson, J MbDNISF-2020-04"/>
    <s v="HSC"/>
    <d v="2020-08-01T00:00:00"/>
    <d v="2022-01-31T00:00:00"/>
    <n v="39365"/>
    <n v="13120.354499999999"/>
  </r>
  <r>
    <n v="511140"/>
    <n v="212630"/>
    <x v="4"/>
    <s v="Lincoln Stein"/>
    <s v="Stein, L MbDNISF-2020-03"/>
    <s v="Campus"/>
    <d v="2020-08-01T00:00:00"/>
    <d v="2021-07-31T00:00:00"/>
    <n v="100000"/>
    <n v="33330"/>
  </r>
  <r>
    <n v="511440"/>
    <n v="208728"/>
    <x v="6"/>
    <s v="Michael Laflamme"/>
    <s v="Laflamme, M EMHS-2020-01"/>
    <s v="UHN"/>
    <d v="2020-09-01T00:00:00"/>
    <d v="2021-08-31T00:00:00"/>
    <n v="12500"/>
    <n v="4166.25"/>
  </r>
  <r>
    <n v="511440"/>
    <n v="209400"/>
    <x v="6"/>
    <s v="Michael Garton"/>
    <s v="Garton, M EMHS-2020-01"/>
    <s v="Campus"/>
    <d v="2020-09-01T00:00:00"/>
    <d v="2021-08-31T00:00:00"/>
    <n v="12500"/>
    <n v="4166.2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0">
  <r>
    <n v="499942"/>
    <n v="107525"/>
    <s v="499942,107525"/>
    <x v="0"/>
    <s v="Executive Director Funds: Operating"/>
    <x v="0"/>
    <s v="DIRECTOR EXECUTIVE"/>
    <s v="EXEC DIRECTOR FUNDS"/>
    <s v="Campus"/>
    <d v="2015-09-01T00:00:00"/>
    <d v="2022-03-31T00:00:00"/>
    <n v="500000"/>
    <n v="166650"/>
  </r>
  <r>
    <n v="501333"/>
    <n v="207444"/>
    <s v="501333,207444"/>
    <x v="0"/>
    <s v="Cycle 1"/>
    <x v="1"/>
    <s v="Sidhartha Goyal"/>
    <s v="Goyal,S CITPA-2016-01"/>
    <s v="Campus"/>
    <d v="2016-09-01T00:00:00"/>
    <d v="2019-12-31T00:00:00"/>
    <n v="-169.84"/>
    <n v="-56.607672000000001"/>
  </r>
  <r>
    <n v="501337"/>
    <n v="208379"/>
    <s v="501337,208379"/>
    <x v="1"/>
    <s v="Cycle 1"/>
    <x v="1"/>
    <s v="Keith Pardee"/>
    <s v="Pardee, K CITPA-2016-06"/>
    <s v="Campus"/>
    <d v="2016-09-01T00:00:00"/>
    <d v="2019-08-31T00:00:00"/>
    <n v="-47.3"/>
    <n v="-15.765089999999999"/>
  </r>
  <r>
    <n v="501337"/>
    <n v="208379"/>
    <s v="501337,208379"/>
    <x v="1"/>
    <s v="Cycle 1"/>
    <x v="1"/>
    <s v="Keith Pardee"/>
    <s v="Pardee, K CITPA-2016-06"/>
    <s v="Campus"/>
    <d v="2016-09-01T00:00:00"/>
    <d v="2019-08-31T00:00:00"/>
    <n v="-70.84"/>
    <n v="-23.610972"/>
  </r>
  <r>
    <n v="501339"/>
    <n v="208379"/>
    <s v="501339,208379"/>
    <x v="1"/>
    <s v="Cycle 1"/>
    <x v="1"/>
    <s v="Keith Pardee"/>
    <s v="Pardee, K CITPA-2016-10"/>
    <s v="Campus"/>
    <d v="2016-09-01T00:00:00"/>
    <d v="2020-04-30T00:00:00"/>
    <n v="-4.21"/>
    <n v="-1.4031929999999999"/>
  </r>
  <r>
    <n v="501339"/>
    <n v="208379"/>
    <s v="501339,208379"/>
    <x v="0"/>
    <s v="Cycle 1"/>
    <x v="1"/>
    <s v="Keith Pardee"/>
    <s v="Pardee, K CITPA-2016-10"/>
    <s v="Campus"/>
    <d v="2016-09-01T00:00:00"/>
    <d v="2020-04-30T00:00:00"/>
    <n v="-338.46"/>
    <n v="-112.80871799999998"/>
  </r>
  <r>
    <n v="502535"/>
    <n v="208616"/>
    <s v="502535,208616"/>
    <x v="0"/>
    <s v="PDF"/>
    <x v="2"/>
    <s v="Cristina Nostro"/>
    <s v="NOSTRO C MPDF-2017-02"/>
    <s v="UHN"/>
    <d v="2017-12-01T00:00:00"/>
    <d v="2020-12-31T00:00:00"/>
    <n v="33333"/>
    <n v="11109.8889"/>
  </r>
  <r>
    <n v="504320"/>
    <n v="205554"/>
    <s v="504320,205554"/>
    <x v="0"/>
    <s v="PDF"/>
    <x v="2"/>
    <s v="Craig Simmons"/>
    <s v="SIMMONS C MPDF-2018"/>
    <s v="Campus"/>
    <d v="2018-05-01T00:00:00"/>
    <d v="2021-03-31T00:00:00"/>
    <n v="50000"/>
    <n v="16665"/>
  </r>
  <r>
    <n v="504321"/>
    <n v="205839"/>
    <s v="504321,205839"/>
    <x v="0"/>
    <s v="PDF"/>
    <x v="2"/>
    <s v="Aaron Wheeler"/>
    <s v="WHEELER A MPDF-2018"/>
    <s v="Campus"/>
    <d v="2018-04-01T00:00:00"/>
    <d v="2021-03-31T00:00:00"/>
    <n v="50000"/>
    <n v="16665"/>
  </r>
  <r>
    <n v="504322"/>
    <n v="208617"/>
    <s v="504322,208617"/>
    <x v="0"/>
    <s v="PDF"/>
    <x v="2"/>
    <s v="Tae-Hee Kim"/>
    <s v="KIM T   MPDF-2018"/>
    <s v="HSC"/>
    <d v="2018-05-01T00:00:00"/>
    <d v="2021-07-31T00:00:00"/>
    <n v="50000"/>
    <n v="16665"/>
  </r>
  <r>
    <n v="504839"/>
    <n v="209210"/>
    <s v="504839,209210"/>
    <x v="0"/>
    <s v="Faculty Support"/>
    <x v="3"/>
    <s v="Yun LI"/>
    <s v="LI Y      CFREF-2017"/>
    <s v="HSC"/>
    <d v="2017-12-01T00:00:00"/>
    <d v="2021-11-30T00:00:00"/>
    <n v="87240"/>
    <n v="29077.091999999997"/>
  </r>
  <r>
    <n v="504875"/>
    <n v="209210"/>
    <s v="504875,209210"/>
    <x v="0"/>
    <s v="Faculty Support"/>
    <x v="3"/>
    <s v="Yun LI"/>
    <s v="LI Y      CFREF-2017"/>
    <s v="HSC"/>
    <d v="2017-12-01T00:00:00"/>
    <d v="2021-11-30T00:00:00"/>
    <n v="47500"/>
    <n v="15831.75"/>
  </r>
  <r>
    <n v="505082"/>
    <n v="212504"/>
    <s v="505082,212504"/>
    <x v="0"/>
    <s v="PDF"/>
    <x v="2"/>
    <s v="Freda Miller"/>
    <s v="MILLER F MPDF-2018"/>
    <s v="HSC"/>
    <d v="2018-04-01T00:00:00"/>
    <d v="2021-03-31T00:00:00"/>
    <n v="50000"/>
    <n v="16665"/>
  </r>
  <r>
    <n v="505362"/>
    <n v="209346"/>
    <s v="505362,209346"/>
    <x v="0"/>
    <s v="Faculty Support"/>
    <x v="3"/>
    <s v="Sarah Crome"/>
    <s v="CROME S   CFREF-2018"/>
    <s v="UHN"/>
    <d v="2018-07-01T00:00:00"/>
    <d v="2021-06-30T00:00:00"/>
    <n v="150000"/>
    <n v="49995"/>
  </r>
  <r>
    <n v="505749"/>
    <n v="209403"/>
    <s v="505749,209403"/>
    <x v="0"/>
    <s v="Faculty Support"/>
    <x v="3"/>
    <s v="Stephanie Protze"/>
    <s v="PROTZE S  CFREF-2018"/>
    <s v="UHN"/>
    <d v="2018-08-01T00:00:00"/>
    <d v="2021-07-31T00:00:00"/>
    <n v="62500"/>
    <n v="20831.25"/>
  </r>
  <r>
    <n v="506448"/>
    <n v="208217"/>
    <s v="506448,208217"/>
    <x v="0"/>
    <s v="PDF"/>
    <x v="2"/>
    <s v="Mikko Taipale"/>
    <s v="TAIPALE M MPDF-2019"/>
    <s v="Campus"/>
    <d v="2019-04-01T00:00:00"/>
    <d v="2021-03-31T00:00:00"/>
    <n v="50000"/>
    <n v="16665"/>
  </r>
  <r>
    <n v="506449"/>
    <n v="203820"/>
    <s v="506449,203820"/>
    <x v="0"/>
    <s v="PDF"/>
    <x v="2"/>
    <s v="Cindi Morshead"/>
    <s v="MORSHEAD C MPDF-2019"/>
    <s v="Campus"/>
    <d v="2019-04-01T00:00:00"/>
    <d v="2021-03-31T00:00:00"/>
    <n v="50000"/>
    <n v="16665"/>
  </r>
  <r>
    <n v="506450"/>
    <n v="208620"/>
    <s v="506450,208620"/>
    <x v="0"/>
    <s v="PDF"/>
    <x v="2"/>
    <s v="Daniel Schramek"/>
    <s v="SCHRAMEK D MPDF-2019"/>
    <s v="SHS"/>
    <d v="2019-04-01T00:00:00"/>
    <d v="2022-03-31T00:00:00"/>
    <n v="50000"/>
    <n v="16665"/>
  </r>
  <r>
    <n v="506451"/>
    <n v="207233"/>
    <s v="506451,207233"/>
    <x v="0"/>
    <s v="PDF"/>
    <x v="2"/>
    <s v="Penney Gilbert"/>
    <s v="GILBERT P MPDF-2019"/>
    <s v="Campus"/>
    <d v="2019-04-01T00:00:00"/>
    <d v="2022-03-31T00:00:00"/>
    <n v="50000"/>
    <n v="16665"/>
  </r>
  <r>
    <n v="506456"/>
    <n v="207032"/>
    <s v="506456,207032"/>
    <x v="0"/>
    <s v="New Ideas"/>
    <x v="4"/>
    <s v="Bebhinn Treanor"/>
    <s v="Treanor, B MbDNI-2019-01"/>
    <s v="Campus"/>
    <d v="2019-04-01T00:00:00"/>
    <d v="2021-12-31T00:00:00"/>
    <n v="50000"/>
    <n v="16665"/>
  </r>
  <r>
    <n v="506456"/>
    <n v="209438"/>
    <s v="506456,209438"/>
    <x v="0"/>
    <s v="New Ideas"/>
    <x v="4"/>
    <s v="Leo Chou"/>
    <s v="Chou, L MbDNI-2019-01"/>
    <s v="Campus"/>
    <d v="2019-04-01T00:00:00"/>
    <d v="2021-12-31T00:00:00"/>
    <n v="50000"/>
    <n v="16665"/>
  </r>
  <r>
    <n v="506457"/>
    <n v="208406"/>
    <s v="506457,208406"/>
    <x v="0"/>
    <s v="New Ideas"/>
    <x v="4"/>
    <s v="Robert Hamilton"/>
    <s v="HAMILTON R MBDNI-2018"/>
    <s v="HSC"/>
    <d v="2019-04-01T00:00:00"/>
    <d v="2021-06-30T00:00:00"/>
    <n v="25000"/>
    <n v="8332.5"/>
  </r>
  <r>
    <n v="506457"/>
    <n v="212361"/>
    <s v="506457,212361"/>
    <x v="0"/>
    <s v="New Ideas"/>
    <x v="4"/>
    <s v="Sachdev Sidhu"/>
    <s v="SIDHU S HAMILTON R MBDNI-201"/>
    <s v="Campus"/>
    <d v="2019-04-01T00:00:00"/>
    <d v="2021-06-30T00:00:00"/>
    <n v="75000"/>
    <n v="24997.5"/>
  </r>
  <r>
    <n v="506458"/>
    <n v="205547"/>
    <s v="506458,205547"/>
    <x v="0"/>
    <s v="New Ideas"/>
    <x v="4"/>
    <s v="Yu Sun"/>
    <s v="SUN, Y HOPYAN MBDNI-2019"/>
    <s v="Campus"/>
    <d v="2019-04-01T00:00:00"/>
    <d v="2021-06-30T00:00:00"/>
    <n v="26980"/>
    <n v="8992.4339999999993"/>
  </r>
  <r>
    <n v="506458"/>
    <n v="212183"/>
    <s v="506458,212183"/>
    <x v="0"/>
    <s v="New Ideas"/>
    <x v="4"/>
    <s v="Sevan Hopyan"/>
    <s v="HOPYAN, S MBDNI-2019"/>
    <s v="HSC"/>
    <d v="2019-04-01T00:00:00"/>
    <d v="2021-06-30T00:00:00"/>
    <n v="71385"/>
    <n v="23792.620499999997"/>
  </r>
  <r>
    <n v="506459"/>
    <n v="205993"/>
    <s v="506459,205993"/>
    <x v="0"/>
    <s v="New Ideas"/>
    <x v="4"/>
    <s v="Radhakrishnan Mahadevan"/>
    <s v="MAHADEVA R MBDNI-2018"/>
    <s v="Campus"/>
    <d v="2019-04-01T00:00:00"/>
    <d v="2021-06-30T00:00:00"/>
    <n v="36000"/>
    <n v="11998.8"/>
  </r>
  <r>
    <n v="506459"/>
    <n v="208379"/>
    <s v="506459,208379"/>
    <x v="0"/>
    <s v="New Ideas"/>
    <x v="4"/>
    <s v="Keith Pardee"/>
    <s v="PARDEE K MBDNI-2019"/>
    <s v="Campus"/>
    <d v="2019-04-01T00:00:00"/>
    <d v="2021-06-30T00:00:00"/>
    <n v="21000"/>
    <n v="6999.2999999999993"/>
  </r>
  <r>
    <n v="506459"/>
    <n v="208617"/>
    <s v="506459,208617"/>
    <x v="0"/>
    <s v="New Ideas"/>
    <x v="4"/>
    <s v="Tae-Hee Kim"/>
    <s v="KIM, T  MAHADEVAN MBDNI-2018"/>
    <s v="HSC"/>
    <d v="2019-04-01T00:00:00"/>
    <d v="2021-06-30T00:00:00"/>
    <n v="30000"/>
    <n v="9999"/>
  </r>
  <r>
    <n v="507637"/>
    <n v="206014"/>
    <s v="507637,206014"/>
    <x v="0"/>
    <s v="Cycle 2 "/>
    <x v="5"/>
    <s v="Anthony Gramolini"/>
    <s v="Gramolini, A MbDC2-2019-01"/>
    <s v="Campus"/>
    <d v="2019-09-01T00:00:00"/>
    <d v="2021-11-30T00:00:00"/>
    <n v="40800"/>
    <n v="13598.64"/>
  </r>
  <r>
    <n v="507637"/>
    <n v="207636"/>
    <s v="507637,207636"/>
    <x v="0"/>
    <s v="Cycle 2 "/>
    <x v="5"/>
    <s v="Hai-Ling Cheng"/>
    <s v="Cheng, H-L MbDC2-2019-01"/>
    <s v="Campus"/>
    <d v="2019-09-01T00:00:00"/>
    <d v="2021-11-30T00:00:00"/>
    <n v="85000"/>
    <n v="28330.5"/>
  </r>
  <r>
    <n v="507637"/>
    <n v="208625"/>
    <s v="507637,208625"/>
    <x v="0"/>
    <s v="Cycle 2 "/>
    <x v="5"/>
    <s v="Slava Epelman"/>
    <s v="Epelman, S MbDC2-2019-01"/>
    <s v="UHN"/>
    <d v="2019-09-01T00:00:00"/>
    <d v="2021-11-30T00:00:00"/>
    <n v="63750"/>
    <n v="21247.875"/>
  </r>
  <r>
    <n v="507637"/>
    <n v="208728"/>
    <s v="507637,208728"/>
    <x v="0"/>
    <s v="Cycle 2 "/>
    <x v="5"/>
    <s v="Michael Laflamme"/>
    <s v="Laflamme, M MbDC2-2019-01"/>
    <s v="UHN"/>
    <d v="2019-09-01T00:00:00"/>
    <d v="2021-11-30T00:00:00"/>
    <n v="378100"/>
    <n v="126020.73"/>
  </r>
  <r>
    <n v="507637"/>
    <n v="209491"/>
    <s v="507637,209491"/>
    <x v="0"/>
    <s v="Cycle 2 "/>
    <x v="5"/>
    <s v="Nilesh Ghurgre"/>
    <s v="Ghugre, N MbDC2-2019-01"/>
    <s v="SRI"/>
    <d v="2019-09-01T00:00:00"/>
    <d v="2021-11-30T00:00:00"/>
    <n v="153000"/>
    <n v="50994.899999999994"/>
  </r>
  <r>
    <n v="507637"/>
    <n v="209660"/>
    <s v="507637,209660"/>
    <x v="0"/>
    <s v="Cycle 2 "/>
    <x v="5"/>
    <s v="Mark Friedberg"/>
    <s v="Friedberg, M MbDC2-2019-01"/>
    <s v="HSC"/>
    <d v="2019-09-01T00:00:00"/>
    <d v="2021-11-30T00:00:00"/>
    <n v="74800"/>
    <n v="24930.84"/>
  </r>
  <r>
    <n v="507637"/>
    <n v="211152"/>
    <s v="507637,211152"/>
    <x v="0"/>
    <s v="Cycle 2 "/>
    <x v="5"/>
    <s v="Scott Heximer"/>
    <s v="Heximer, S MbDC2-2019-01"/>
    <s v="Campus"/>
    <d v="2019-09-01T00:00:00"/>
    <d v="2021-11-30T00:00:00"/>
    <n v="40800"/>
    <n v="13598.64"/>
  </r>
  <r>
    <n v="507637"/>
    <n v="212636"/>
    <s v="507637,212636"/>
    <x v="0"/>
    <s v="Cycle 2 "/>
    <x v="5"/>
    <s v="Gordon Keller"/>
    <s v="Keller, G MbDC2-2019-01"/>
    <s v="UHN"/>
    <d v="2019-09-01T00:00:00"/>
    <d v="2021-11-30T00:00:00"/>
    <n v="63750"/>
    <n v="21247.875"/>
  </r>
  <r>
    <n v="507638"/>
    <n v="203770"/>
    <s v="507638,203770"/>
    <x v="0"/>
    <s v="Cycle 2 "/>
    <x v="5"/>
    <s v="Peter Zandstra"/>
    <s v="Zandstra, P MbDC2-2019-02"/>
    <s v="UBC"/>
    <d v="2019-09-01T00:00:00"/>
    <d v="2021-11-30T00:00:00"/>
    <n v="40000"/>
    <n v="13332"/>
  </r>
  <r>
    <n v="507638"/>
    <n v="203820"/>
    <s v="507638,203820"/>
    <x v="0"/>
    <s v="Cycle 2 "/>
    <x v="5"/>
    <s v="Cindi Morshead"/>
    <s v="Morshead, C MbDC2-2019-02"/>
    <s v="Campus"/>
    <d v="2019-09-01T00:00:00"/>
    <d v="2021-11-30T00:00:00"/>
    <n v="30000"/>
    <n v="9999"/>
  </r>
  <r>
    <n v="507638"/>
    <n v="206595"/>
    <s v="507638,206595"/>
    <x v="0"/>
    <s v="Cycle 2 "/>
    <x v="5"/>
    <s v="Alison McGuigan"/>
    <s v="Mcguigan, A MbDC2-2019-02"/>
    <s v="Campus"/>
    <d v="2019-09-01T00:00:00"/>
    <d v="2021-11-30T00:00:00"/>
    <n v="133750"/>
    <n v="44578.875"/>
  </r>
  <r>
    <n v="507638"/>
    <n v="207233"/>
    <s v="507638,207233"/>
    <x v="0"/>
    <s v="Cycle 2 "/>
    <x v="5"/>
    <s v="Penney Gilbert"/>
    <s v="Gilbert, P MbDC2-2019-02"/>
    <s v="Campus"/>
    <d v="2019-09-01T00:00:00"/>
    <d v="2021-11-30T00:00:00"/>
    <n v="133250"/>
    <n v="44412.224999999999"/>
  </r>
  <r>
    <n v="507638"/>
    <n v="207444"/>
    <s v="507638,207444"/>
    <x v="0"/>
    <s v="Cycle 2 "/>
    <x v="5"/>
    <s v="Sidhartha Goyal"/>
    <s v="Goyal, S MbDC2-2019-02"/>
    <s v="Campus"/>
    <d v="2019-09-01T00:00:00"/>
    <d v="2021-11-30T00:00:00"/>
    <n v="100000"/>
    <n v="33330"/>
  </r>
  <r>
    <n v="507638"/>
    <n v="209210"/>
    <s v="507638,209210"/>
    <x v="0"/>
    <s v="Cycle 2 "/>
    <x v="5"/>
    <s v="Yun LI"/>
    <s v="Li, Y MbDC2-2019-02"/>
    <s v="HSC"/>
    <d v="2019-09-01T00:00:00"/>
    <d v="2021-11-30T00:00:00"/>
    <n v="62000"/>
    <n v="20664.599999999999"/>
  </r>
  <r>
    <n v="507638"/>
    <n v="211256"/>
    <s v="507638,211256"/>
    <x v="0"/>
    <s v="Cycle 2 "/>
    <x v="5"/>
    <s v="David Kaplan"/>
    <s v="Kaplan, D MbDC2-2019-02"/>
    <s v="HSC"/>
    <d v="2019-09-01T00:00:00"/>
    <d v="2021-11-30T00:00:00"/>
    <n v="132500"/>
    <n v="44162.25"/>
  </r>
  <r>
    <n v="507638"/>
    <n v="211963"/>
    <s v="507638,211963"/>
    <x v="0"/>
    <s v="Cycle 2 "/>
    <x v="5"/>
    <s v="Gary Bader"/>
    <s v="Bader, G MbDC2-2019-02"/>
    <s v="Campus"/>
    <d v="2019-09-01T00:00:00"/>
    <d v="2021-11-30T00:00:00"/>
    <n v="133500"/>
    <n v="44495.549999999996"/>
  </r>
  <r>
    <n v="507638"/>
    <n v="212504"/>
    <s v="507638,212504"/>
    <x v="0"/>
    <s v="Cycle 2 "/>
    <x v="5"/>
    <s v="Freda Miller"/>
    <s v="Miller, F MbDC2-2019-02"/>
    <s v="HSC"/>
    <d v="2019-09-01T00:00:00"/>
    <d v="2021-11-30T00:00:00"/>
    <n v="133500"/>
    <n v="44495.549999999996"/>
  </r>
  <r>
    <n v="507639"/>
    <n v="206147"/>
    <s v="507639,206147"/>
    <x v="0"/>
    <s v="Cycle 2 "/>
    <x v="5"/>
    <s v="Stephane Angers"/>
    <s v="Angers, S MbDC2-2019-03"/>
    <s v="Campus"/>
    <d v="2019-09-01T00:00:00"/>
    <d v="2021-11-30T00:00:00"/>
    <n v="240000"/>
    <n v="79992"/>
  </r>
  <r>
    <n v="507639"/>
    <n v="206205"/>
    <s v="507639,206205"/>
    <x v="0"/>
    <s v="Cycle 2 "/>
    <x v="5"/>
    <s v="Jason Moffat"/>
    <s v="Moffat, J MbDC2-2019-03"/>
    <s v="Campus"/>
    <d v="2019-09-01T00:00:00"/>
    <d v="2021-11-30T00:00:00"/>
    <n v="240000"/>
    <n v="79992"/>
  </r>
  <r>
    <n v="507639"/>
    <n v="206595"/>
    <s v="507639,206595"/>
    <x v="0"/>
    <s v="Cycle 2 "/>
    <x v="5"/>
    <s v="Alison McGuigan"/>
    <s v="Mcguigan, A MbDC2-2019-03"/>
    <s v="Campus"/>
    <d v="2019-09-01T00:00:00"/>
    <d v="2021-11-30T00:00:00"/>
    <n v="40000"/>
    <n v="13332"/>
  </r>
  <r>
    <n v="507639"/>
    <n v="208379"/>
    <s v="507639,208379"/>
    <x v="0"/>
    <s v="Cycle 2 "/>
    <x v="5"/>
    <s v="Keith Pardee"/>
    <s v="Pardee, K MbDC2-2019-03"/>
    <s v="Campus"/>
    <d v="2019-09-01T00:00:00"/>
    <d v="2021-11-30T00:00:00"/>
    <n v="80000"/>
    <n v="26664"/>
  </r>
  <r>
    <n v="507639"/>
    <n v="210174"/>
    <s v="507639,210174"/>
    <x v="1"/>
    <s v="Cycle 2 "/>
    <x v="5"/>
    <s v="Ben Blencowe"/>
    <s v="Blencowe, B MbDC2-2019-03"/>
    <s v="Campus"/>
    <d v="2019-09-01T00:00:00"/>
    <d v="2021-11-30T00:00:00"/>
    <n v="8750"/>
    <n v="2916.375"/>
  </r>
  <r>
    <n v="507639"/>
    <n v="210174"/>
    <s v="507639,210174"/>
    <x v="0"/>
    <s v="Cycle 2 "/>
    <x v="5"/>
    <s v="Ben Blencowe"/>
    <s v="Blencowe, B MbDC2-2019-03"/>
    <s v="Campus"/>
    <d v="2019-09-01T00:00:00"/>
    <d v="2021-11-30T00:00:00"/>
    <n v="80000"/>
    <n v="26664"/>
  </r>
  <r>
    <n v="507639"/>
    <n v="212065"/>
    <s v="507639,212065"/>
    <x v="1"/>
    <s v="Cycle 2 "/>
    <x v="5"/>
    <s v="Shana Kelley"/>
    <s v="Kelley, S MbDC2-2019-03"/>
    <s v="Campus"/>
    <d v="2019-09-01T00:00:00"/>
    <d v="2021-11-30T00:00:00"/>
    <n v="10000"/>
    <n v="3333"/>
  </r>
  <r>
    <n v="507639"/>
    <n v="212065"/>
    <s v="507639,212065"/>
    <x v="0"/>
    <s v="Cycle 2 "/>
    <x v="5"/>
    <s v="Shana Kelley"/>
    <s v="Kelley, S MbDC2-2019-03"/>
    <s v="Campus"/>
    <d v="2019-09-01T00:00:00"/>
    <d v="2021-11-30T00:00:00"/>
    <n v="275000"/>
    <n v="91657.5"/>
  </r>
  <r>
    <n v="507639"/>
    <n v="212361"/>
    <s v="507639,212361"/>
    <x v="0"/>
    <s v="Cycle 2 "/>
    <x v="5"/>
    <s v="Sachdev Sidhu"/>
    <s v="Sidhu, S MbDC2-2019-03"/>
    <s v="Campus"/>
    <d v="2019-09-01T00:00:00"/>
    <d v="2021-11-30T00:00:00"/>
    <n v="240000"/>
    <n v="79992"/>
  </r>
  <r>
    <n v="507641"/>
    <n v="203173"/>
    <s v="507641,203173"/>
    <x v="0"/>
    <s v="Cycle 2 "/>
    <x v="5"/>
    <s v="Isabelle Aubert"/>
    <s v="Aubert, I MbDC2-2019-04"/>
    <s v="SRI"/>
    <d v="2019-09-01T00:00:00"/>
    <d v="2021-11-30T00:00:00"/>
    <n v="61765"/>
    <n v="20586.2745"/>
  </r>
  <r>
    <n v="507641"/>
    <n v="203820"/>
    <s v="507641,203820"/>
    <x v="0"/>
    <s v="Cycle 2 "/>
    <x v="5"/>
    <s v="Cindi Morshead"/>
    <s v="Morshead, C MbDC2-2019-04"/>
    <s v="Campus"/>
    <d v="2019-09-01T00:00:00"/>
    <d v="2021-11-30T00:00:00"/>
    <n v="106595"/>
    <n v="35528.113499999999"/>
  </r>
  <r>
    <n v="507641"/>
    <n v="205592"/>
    <s v="507641,205592"/>
    <x v="0"/>
    <s v="Cycle 2 "/>
    <x v="5"/>
    <s v="Melanie Woodin"/>
    <s v="Woodin, M MbDC2-2019-04"/>
    <s v="Campus"/>
    <d v="2019-09-01T00:00:00"/>
    <d v="2021-11-30T00:00:00"/>
    <n v="32000"/>
    <n v="10665.6"/>
  </r>
  <r>
    <n v="507641"/>
    <n v="208897"/>
    <s v="507641,208897"/>
    <x v="0"/>
    <s v="Cycle 2 "/>
    <x v="5"/>
    <s v="Maryam Faiz"/>
    <s v="Faiz, M MbDC2-2019-04"/>
    <s v="Campus"/>
    <d v="2019-09-01T00:00:00"/>
    <d v="2021-11-30T00:00:00"/>
    <n v="73925"/>
    <n v="24639.202499999999"/>
  </r>
  <r>
    <n v="507641"/>
    <n v="208934"/>
    <s v="507641,208934"/>
    <x v="0"/>
    <s v="Cycle 2 "/>
    <x v="5"/>
    <s v="Carol Schuurmans"/>
    <s v="Shuurmans, C MbDC2-2019-04"/>
    <s v="SRI"/>
    <d v="2019-09-01T00:00:00"/>
    <d v="2021-11-30T00:00:00"/>
    <n v="58717"/>
    <n v="19570.376099999998"/>
  </r>
  <r>
    <n v="507642"/>
    <n v="200150"/>
    <s v="507642,200150"/>
    <x v="0"/>
    <s v="Cycle 2 "/>
    <x v="5"/>
    <s v="Myron Cybulsky"/>
    <s v="Cybulsky, M MbDC2-2019-05"/>
    <s v="UHN"/>
    <d v="2019-09-01T00:00:00"/>
    <d v="2021-11-30T00:00:00"/>
    <n v="85000"/>
    <n v="28330.5"/>
  </r>
  <r>
    <n v="507642"/>
    <n v="208607"/>
    <s v="507642,208607"/>
    <x v="0"/>
    <s v="Cycle 2 "/>
    <x v="5"/>
    <s v="Clint Robbins"/>
    <s v="Robbins, C MbDC2-2019-05"/>
    <s v="UHN"/>
    <d v="2019-09-01T00:00:00"/>
    <d v="2021-11-30T00:00:00"/>
    <n v="90000"/>
    <n v="29997"/>
  </r>
  <r>
    <n v="507642"/>
    <n v="212714"/>
    <s v="507642,212714"/>
    <x v="0"/>
    <s v="Cycle 2 "/>
    <x v="5"/>
    <s v="Jason Fish"/>
    <s v="Fish, J MbDC2-2019-05"/>
    <s v="UHN"/>
    <d v="2019-09-01T00:00:00"/>
    <d v="2021-11-30T00:00:00"/>
    <n v="85000"/>
    <n v="28330.5"/>
  </r>
  <r>
    <n v="507643"/>
    <n v="201921"/>
    <s v="507643,201921"/>
    <x v="0"/>
    <s v="Cycle 2 "/>
    <x v="5"/>
    <s v="Molly Shoichet"/>
    <s v="Shoichet, M MbDC2-2019-06"/>
    <s v="Campus"/>
    <d v="2019-09-01T00:00:00"/>
    <d v="2021-11-30T00:00:00"/>
    <n v="80000"/>
    <n v="26664"/>
  </r>
  <r>
    <n v="507643"/>
    <n v="208489"/>
    <s v="507643,208489"/>
    <x v="0"/>
    <s v="Cycle 2 "/>
    <x v="5"/>
    <s v="Julie Lefebvre"/>
    <s v="Lefebvre, J MbDC2-2019-06"/>
    <s v="HSC"/>
    <d v="2019-09-01T00:00:00"/>
    <d v="2021-11-30T00:00:00"/>
    <n v="75000"/>
    <n v="24997.5"/>
  </r>
  <r>
    <n v="507643"/>
    <n v="208810"/>
    <s v="507643,208810"/>
    <x v="0"/>
    <s v="Cycle 2 "/>
    <x v="5"/>
    <s v="Valerie Wallace"/>
    <s v="Wallace, V MbDC2-2019-06"/>
    <s v="UHN"/>
    <d v="2019-09-01T00:00:00"/>
    <d v="2021-11-30T00:00:00"/>
    <n v="100000"/>
    <n v="33330"/>
  </r>
  <r>
    <n v="507643"/>
    <n v="211134"/>
    <s v="507643,211134"/>
    <x v="0"/>
    <s v="Cycle 2 "/>
    <x v="5"/>
    <s v="Derek van der Kooy"/>
    <s v="Van Der Kooy, D MbDC2-2019-06"/>
    <s v="Campus"/>
    <d v="2019-09-01T00:00:00"/>
    <d v="2021-11-30T00:00:00"/>
    <n v="80000"/>
    <n v="26664"/>
  </r>
  <r>
    <n v="507693"/>
    <n v="201921"/>
    <s v="507693,201921"/>
    <x v="0"/>
    <s v="Cycle 2 "/>
    <x v="5"/>
    <s v="Molly Shoichet"/>
    <s v="Shoichet, M MbDC2-2019-07"/>
    <s v="Campus"/>
    <d v="2019-09-01T00:00:00"/>
    <d v="2021-11-30T00:00:00"/>
    <n v="66900"/>
    <n v="22297.77"/>
  </r>
  <r>
    <n v="507693"/>
    <n v="206130"/>
    <s v="507693,206130"/>
    <x v="0"/>
    <s v="Cycle 2 "/>
    <x v="5"/>
    <s v="Axel Guenther"/>
    <s v="Guenther, A MbDC2-2019-07"/>
    <s v="Campus"/>
    <d v="2019-09-01T00:00:00"/>
    <d v="2021-11-30T00:00:00"/>
    <n v="100350"/>
    <n v="33446.654999999999"/>
  </r>
  <r>
    <n v="507693"/>
    <n v="209184"/>
    <s v="507693,209184"/>
    <x v="0"/>
    <s v="Cycle 2 "/>
    <x v="5"/>
    <s v="Sonya MacParland"/>
    <s v="Macparland, S MbDC2-2019-07"/>
    <s v="UHN"/>
    <d v="2019-09-01T00:00:00"/>
    <d v="2021-11-30T00:00:00"/>
    <n v="108000"/>
    <n v="35996.400000000001"/>
  </r>
  <r>
    <n v="507693"/>
    <n v="209766"/>
    <s v="507693,209766"/>
    <x v="0"/>
    <s v="Cycle 2 "/>
    <x v="5"/>
    <s v="Shinichiro Ogawa"/>
    <s v="Ogawa, S MbDC2-2019-07"/>
    <s v="UHN"/>
    <d v="2019-09-01T00:00:00"/>
    <d v="2021-11-30T00:00:00"/>
    <n v="108123"/>
    <n v="36037.395899999996"/>
  </r>
  <r>
    <n v="507693"/>
    <n v="211063"/>
    <s v="507693,211063"/>
    <x v="0"/>
    <s v="Cycle 2 "/>
    <x v="5"/>
    <s v="Christine Bear"/>
    <s v="Bear, C MbDC2-2019-07"/>
    <s v="HSC"/>
    <d v="2019-09-01T00:00:00"/>
    <d v="2021-11-30T00:00:00"/>
    <n v="33450"/>
    <n v="11148.885"/>
  </r>
  <r>
    <n v="507693"/>
    <n v="211963"/>
    <s v="507693,211963"/>
    <x v="0"/>
    <s v="Cycle 2 "/>
    <x v="5"/>
    <s v="Gary Bader"/>
    <s v="Bader, G MbDC2-2019-07"/>
    <s v="Campus"/>
    <d v="2019-09-01T00:00:00"/>
    <d v="2021-11-30T00:00:00"/>
    <n v="33450"/>
    <n v="11148.885"/>
  </r>
  <r>
    <n v="507693"/>
    <n v="212636"/>
    <s v="507693,212636"/>
    <x v="0"/>
    <s v="Cycle 2 "/>
    <x v="5"/>
    <s v="Gordon Keller"/>
    <s v="Keller, G MbDC2-2019-07"/>
    <s v="UHN"/>
    <d v="2019-09-01T00:00:00"/>
    <d v="2021-11-30T00:00:00"/>
    <n v="108370"/>
    <n v="36119.720999999998"/>
  </r>
  <r>
    <n v="507693"/>
    <n v="212893"/>
    <s v="507693,212893"/>
    <x v="0"/>
    <s v="Cycle 2 "/>
    <x v="5"/>
    <s v="Ian McGilvray"/>
    <s v="McGilvray, I MbDC2-2019-07"/>
    <s v="UHN"/>
    <d v="2019-09-01T00:00:00"/>
    <d v="2021-11-30T00:00:00"/>
    <n v="108000"/>
    <n v="35996.400000000001"/>
  </r>
  <r>
    <n v="507776"/>
    <n v="208625"/>
    <s v="507776,208625"/>
    <x v="0"/>
    <s v="Cycle 2 "/>
    <x v="5"/>
    <s v="Slava Epelman"/>
    <s v="Epelman, S MbDC2-2019-09"/>
    <s v="UHN"/>
    <d v="2019-09-01T00:00:00"/>
    <d v="2021-11-30T00:00:00"/>
    <n v="83333"/>
    <n v="27774.888899999998"/>
  </r>
  <r>
    <n v="507776"/>
    <n v="208628"/>
    <s v="507776,208628"/>
    <x v="0"/>
    <s v="Cycle 2 "/>
    <x v="5"/>
    <s v="Phyllis Billia"/>
    <s v="Billia, P MbDC2-2019-09"/>
    <s v="UHN"/>
    <d v="2019-09-01T00:00:00"/>
    <d v="2021-11-30T00:00:00"/>
    <n v="83334"/>
    <n v="27775.2222"/>
  </r>
  <r>
    <n v="507776"/>
    <n v="208808"/>
    <s v="507776,208808"/>
    <x v="0"/>
    <s v="Cycle 2 "/>
    <x v="5"/>
    <s v="Mathieu Lupien"/>
    <s v="Lupien, M MbDC2-2019-09"/>
    <s v="UHN"/>
    <d v="2019-09-01T00:00:00"/>
    <d v="2021-11-30T00:00:00"/>
    <n v="70000"/>
    <n v="23331"/>
  </r>
  <r>
    <n v="507776"/>
    <n v="209476"/>
    <s v="507776,209476"/>
    <x v="0"/>
    <s v="Cycle 2 "/>
    <x v="5"/>
    <s v="Philip Awadalla"/>
    <s v="Awadalla, P MbDC2-2019-09"/>
    <s v="Campus"/>
    <d v="2019-09-01T00:00:00"/>
    <d v="2021-11-30T00:00:00"/>
    <n v="70000"/>
    <n v="23331"/>
  </r>
  <r>
    <n v="507776"/>
    <n v="209711"/>
    <s v="507776,209711"/>
    <x v="0"/>
    <s v="Cycle 2 "/>
    <x v="5"/>
    <s v="Steven Chan"/>
    <s v="Chan, S MbDC2-2019-09"/>
    <s v="UHN"/>
    <d v="2019-09-01T00:00:00"/>
    <d v="2021-11-30T00:00:00"/>
    <n v="83333"/>
    <n v="27774.888899999998"/>
  </r>
  <r>
    <n v="507776"/>
    <n v="211377"/>
    <s v="507776,211377"/>
    <x v="0"/>
    <s v="Cycle 2 "/>
    <x v="5"/>
    <s v="John Dick"/>
    <s v="Dick, J MbDC2-2019-09"/>
    <s v="UHN"/>
    <d v="2019-09-01T00:00:00"/>
    <d v="2021-11-30T00:00:00"/>
    <n v="60000"/>
    <n v="19998"/>
  </r>
  <r>
    <n v="507776"/>
    <n v="211963"/>
    <s v="507776,211963"/>
    <x v="0"/>
    <s v="Cycle 2 "/>
    <x v="5"/>
    <s v="Gary Bader"/>
    <s v="Bader, G MbDC2-2019-09"/>
    <s v="Campus"/>
    <d v="2019-09-01T00:00:00"/>
    <d v="2021-11-30T00:00:00"/>
    <n v="50000"/>
    <n v="16665"/>
  </r>
  <r>
    <n v="507777"/>
    <n v="203561"/>
    <s v="507777,203561"/>
    <x v="0"/>
    <s v="Cycle 2 "/>
    <x v="5"/>
    <s v="Tom Waddell"/>
    <s v="Waddell, T MbDC2-2019-10"/>
    <s v="UHN"/>
    <d v="2019-09-01T00:00:00"/>
    <d v="2021-11-30T00:00:00"/>
    <n v="89064"/>
    <n v="29685.031199999998"/>
  </r>
  <r>
    <n v="507777"/>
    <n v="203628"/>
    <s v="507777,203628"/>
    <x v="0"/>
    <s v="Cycle 2 "/>
    <x v="5"/>
    <s v="Shaf Keshavjee"/>
    <s v="Keshavjee, S MbDC2-2019-10"/>
    <s v="UHN"/>
    <d v="2019-09-01T00:00:00"/>
    <d v="2021-11-30T00:00:00"/>
    <n v="201530"/>
    <n v="67169.948999999993"/>
  </r>
  <r>
    <n v="507777"/>
    <n v="206121"/>
    <s v="507777,206121"/>
    <x v="0"/>
    <s v="Cycle 2 "/>
    <x v="5"/>
    <s v="Cristina Amon"/>
    <s v="Amon, C MbDC2-2019-10"/>
    <s v="Campus"/>
    <d v="2019-09-01T00:00:00"/>
    <d v="2021-11-30T00:00:00"/>
    <n v="103320"/>
    <n v="34436.555999999997"/>
  </r>
  <r>
    <n v="507777"/>
    <n v="206470"/>
    <s v="507777,206470"/>
    <x v="0"/>
    <s v="Cycle 2 "/>
    <x v="5"/>
    <s v="Aimy Bazylak"/>
    <s v="Bazylak, A MbDC2-2019-10"/>
    <s v="Campus"/>
    <d v="2019-09-01T00:00:00"/>
    <d v="2021-11-30T00:00:00"/>
    <n v="54000"/>
    <n v="17998.2"/>
  </r>
  <r>
    <n v="507777"/>
    <n v="208815"/>
    <s v="507777,208815"/>
    <x v="0"/>
    <s v="Cycle 2 "/>
    <x v="5"/>
    <s v="Marcelo Cypel"/>
    <s v="Cypel, M MbDC2-2019-10"/>
    <s v="UHN"/>
    <d v="2019-09-01T00:00:00"/>
    <d v="2021-11-30T00:00:00"/>
    <n v="48240"/>
    <n v="16078.392"/>
  </r>
  <r>
    <n v="507778"/>
    <n v="207444"/>
    <s v="507778,207444"/>
    <x v="0"/>
    <s v="Cycle 2 "/>
    <x v="5"/>
    <s v="Sidhartha Goyal"/>
    <s v="Goyal, S MbDC2-2019-08"/>
    <s v="Campus"/>
    <d v="2019-09-01T00:00:00"/>
    <d v="2021-11-30T00:00:00"/>
    <n v="50000"/>
    <n v="16665"/>
  </r>
  <r>
    <n v="507778"/>
    <n v="210089"/>
    <s v="507778,210089"/>
    <x v="1"/>
    <s v="Cycle 2 "/>
    <x v="5"/>
    <s v="Jeff Wrana"/>
    <s v="Wrana, J MbDC2-2019-08"/>
    <s v="SHS"/>
    <d v="2019-09-01T00:00:00"/>
    <d v="2021-11-30T00:00:00"/>
    <n v="26250"/>
    <n v="8749.125"/>
  </r>
  <r>
    <n v="507778"/>
    <n v="210089"/>
    <s v="507778,210089"/>
    <x v="0"/>
    <s v="Cycle 2 "/>
    <x v="5"/>
    <s v="Jeff Wrana"/>
    <s v="Wrana, J MbDC2-2019-08"/>
    <s v="SHS"/>
    <d v="2019-09-01T00:00:00"/>
    <d v="2021-11-30T00:00:00"/>
    <n v="169000"/>
    <n v="56327.7"/>
  </r>
  <r>
    <n v="507778"/>
    <n v="210174"/>
    <s v="507778,210174"/>
    <x v="1"/>
    <s v="Cycle 2 "/>
    <x v="5"/>
    <s v="Ben Blencowe"/>
    <s v="Blencowe,B MbDC2-2019-08"/>
    <s v="Campus"/>
    <d v="2019-09-01T00:00:00"/>
    <d v="2021-11-30T00:00:00"/>
    <n v="14250"/>
    <n v="4749.5249999999996"/>
  </r>
  <r>
    <n v="507778"/>
    <n v="210174"/>
    <s v="507778,210174"/>
    <x v="0"/>
    <s v="Cycle 2 "/>
    <x v="5"/>
    <s v="Ben Blencowe"/>
    <s v="Blencowe, B MbDC2-2019-08"/>
    <s v="Campus"/>
    <d v="2019-09-01T00:00:00"/>
    <d v="2021-11-30T00:00:00"/>
    <n v="66000"/>
    <n v="21997.8"/>
  </r>
  <r>
    <n v="507778"/>
    <n v="211058"/>
    <s v="507778,211058"/>
    <x v="1"/>
    <s v="Cycle 2 "/>
    <x v="5"/>
    <s v="Liliana Attisano"/>
    <s v="Attisano, L MbDC2-2019-08"/>
    <s v="Campus"/>
    <d v="2019-09-01T00:00:00"/>
    <d v="2021-11-30T00:00:00"/>
    <n v="11875"/>
    <n v="3957.9375"/>
  </r>
  <r>
    <n v="507778"/>
    <n v="211058"/>
    <s v="507778,211058"/>
    <x v="0"/>
    <s v="Cycle 2 "/>
    <x v="5"/>
    <s v="Liliana Attisano"/>
    <s v="Attisano, L MbDC2-2019-08"/>
    <s v="Campus"/>
    <d v="2019-09-01T00:00:00"/>
    <d v="2021-11-30T00:00:00"/>
    <n v="76000"/>
    <n v="25330.799999999999"/>
  </r>
  <r>
    <n v="507778"/>
    <n v="212343"/>
    <s v="507778,212343"/>
    <x v="1"/>
    <s v="Cycle 2 "/>
    <x v="5"/>
    <s v="Laurence Pelletier"/>
    <s v="Pelletier, L MbDC2-2019-08"/>
    <s v="SHS"/>
    <d v="2019-09-01T00:00:00"/>
    <d v="2021-11-30T00:00:00"/>
    <n v="25750"/>
    <n v="8582.4750000000004"/>
  </r>
  <r>
    <n v="507778"/>
    <n v="212343"/>
    <s v="507778,212343"/>
    <x v="0"/>
    <s v="Cycle 2 "/>
    <x v="5"/>
    <s v="Laurence Pelletier"/>
    <s v="Pelletier, L MbDC2-2019-08"/>
    <s v="SHS"/>
    <d v="2019-09-01T00:00:00"/>
    <d v="2021-11-30T00:00:00"/>
    <n v="139000"/>
    <n v="46328.7"/>
  </r>
  <r>
    <n v="507779"/>
    <n v="200037"/>
    <s v="507779,200037"/>
    <x v="0"/>
    <s v="Cycle 2 "/>
    <x v="5"/>
    <s v="Juan Carlos Zúñiga-Pflücker"/>
    <s v="Zuniga-Pflucker, J MbDC2-2020-11"/>
    <s v="SRI"/>
    <d v="2019-09-01T00:00:00"/>
    <d v="2021-11-30T00:00:00"/>
    <n v="95000"/>
    <n v="31663.5"/>
  </r>
  <r>
    <n v="507779"/>
    <n v="208609"/>
    <s v="507779,208609"/>
    <x v="0"/>
    <s v="Cycle 2 "/>
    <x v="5"/>
    <s v="Andras Nagy"/>
    <s v="Nagy, Andras MbDC2-2020-11"/>
    <s v="SHS"/>
    <d v="2019-09-01T00:00:00"/>
    <d v="2021-11-30T00:00:00"/>
    <n v="200000"/>
    <n v="66660"/>
  </r>
  <r>
    <n v="507779"/>
    <n v="208616"/>
    <s v="507779,208616"/>
    <x v="0"/>
    <s v="Cycle 2 "/>
    <x v="5"/>
    <s v="Cristina Nostro"/>
    <s v="Nostro, C MbDC2-2020-11"/>
    <s v="UHN"/>
    <d v="2019-09-01T00:00:00"/>
    <d v="2021-11-30T00:00:00"/>
    <n v="80000"/>
    <n v="26664"/>
  </r>
  <r>
    <n v="507779"/>
    <n v="208630"/>
    <s v="507779,208630"/>
    <x v="0"/>
    <s v="Cycle 2 "/>
    <x v="5"/>
    <s v="Naoto Hirano"/>
    <s v="Hirano, N MbDC2-2020-11"/>
    <s v="UHN"/>
    <d v="2019-09-01T00:00:00"/>
    <d v="2021-11-30T00:00:00"/>
    <n v="75000"/>
    <n v="24997.5"/>
  </r>
  <r>
    <n v="507779"/>
    <n v="208631"/>
    <s v="507779,208631"/>
    <x v="0"/>
    <s v="Cycle 2 "/>
    <x v="5"/>
    <s v="Tracy McGaha"/>
    <s v="Mcgaha, L MbDC2-2020-11"/>
    <s v="UHN"/>
    <d v="2019-09-01T00:00:00"/>
    <d v="2021-11-30T00:00:00"/>
    <n v="50000"/>
    <n v="16665"/>
  </r>
  <r>
    <n v="507779"/>
    <n v="208750"/>
    <s v="507779,208750"/>
    <x v="0"/>
    <s v="Cycle 2 "/>
    <x v="5"/>
    <s v="Sara Vasconcelos"/>
    <s v="Vasconcelos, S MbDC2-2020-11"/>
    <s v="UHN"/>
    <d v="2019-09-01T00:00:00"/>
    <d v="2021-11-30T00:00:00"/>
    <n v="70000"/>
    <n v="23331"/>
  </r>
  <r>
    <n v="507779"/>
    <n v="209346"/>
    <s v="507779,209346"/>
    <x v="0"/>
    <s v="Cycle 2 "/>
    <x v="5"/>
    <s v="Sarah Crome"/>
    <s v="Crome, S MbDC2-2020-11"/>
    <s v="UHN"/>
    <d v="2019-09-01T00:00:00"/>
    <d v="2021-11-30T00:00:00"/>
    <n v="80000"/>
    <n v="26664"/>
  </r>
  <r>
    <n v="507782"/>
    <n v="202616"/>
    <s v="507782,202616"/>
    <x v="0"/>
    <s v="Executive Director Award: Zandstra/Sefton"/>
    <x v="0"/>
    <s v="Michael Sefton"/>
    <s v="SEFTON M "/>
    <s v="Campus"/>
    <d v="2019-09-01T00:00:00"/>
    <d v="2022-06-30T00:00:00"/>
    <n v="300000"/>
    <n v="99990"/>
  </r>
  <r>
    <n v="508292"/>
    <n v="211058"/>
    <s v="508292,211058"/>
    <x v="1"/>
    <s v="Cycle 2 "/>
    <x v="5"/>
    <s v="Liliana Attisano"/>
    <s v="Attisano, L MBDC2-2019-11"/>
    <s v="Campus"/>
    <d v="2019-09-01T00:00:00"/>
    <d v="2021-11-30T00:00:00"/>
    <n v="18750"/>
    <n v="6249.375"/>
  </r>
  <r>
    <n v="508292"/>
    <n v="211058"/>
    <s v="508292,211058"/>
    <x v="0"/>
    <s v="Cycle 2 "/>
    <x v="5"/>
    <s v="Liliana Attisano"/>
    <s v="Attisano, L MbDC2-2019-11"/>
    <s v="Campus"/>
    <d v="2019-09-01T00:00:00"/>
    <d v="2021-11-30T00:00:00"/>
    <n v="100000"/>
    <n v="33330"/>
  </r>
  <r>
    <n v="509180"/>
    <n v="209792"/>
    <s v="509180,209792"/>
    <x v="0"/>
    <s v="Faculty Support"/>
    <x v="3"/>
    <s v="Omar Khan"/>
    <s v="KHAN, O CFREF-2020"/>
    <s v="Campus"/>
    <d v="2020-05-01T00:00:00"/>
    <d v="2022-09-01T00:00:00"/>
    <n v="165101"/>
    <n v="55028.1633"/>
  </r>
  <r>
    <n v="509181"/>
    <n v="209792"/>
    <s v="509181,209792"/>
    <x v="1"/>
    <s v="Faculty Support"/>
    <x v="3"/>
    <s v="Omar Khan"/>
    <s v="KHAN, O CFREF-2020"/>
    <s v="Campus"/>
    <d v="2020-05-01T00:00:00"/>
    <d v="2022-09-01T00:00:00"/>
    <n v="608571"/>
    <n v="202836.71429999999"/>
  </r>
  <r>
    <n v="509181"/>
    <n v="209792"/>
    <s v="509181,209792"/>
    <x v="1"/>
    <s v="Faculty Support"/>
    <x v="3"/>
    <s v="Omar Khan"/>
    <s v="KHAN, O CFREF-2020"/>
    <s v="Campus"/>
    <d v="2020-05-01T00:00:00"/>
    <d v="2022-09-01T00:00:00"/>
    <n v="-445000"/>
    <n v="-148318.5"/>
  </r>
  <r>
    <n v="509181"/>
    <n v="209792"/>
    <s v="509181,209792"/>
    <x v="0"/>
    <s v="Faculty Support"/>
    <x v="3"/>
    <s v="Omar Khan"/>
    <s v="KHAN, O CFREF-2020"/>
    <s v="Campus"/>
    <d v="2020-05-01T00:00:00"/>
    <d v="2022-09-01T00:00:00"/>
    <n v="445000"/>
    <n v="148318.5"/>
  </r>
  <r>
    <n v="509284"/>
    <n v="206595"/>
    <s v="509284,206595"/>
    <x v="0"/>
    <s v="PDF"/>
    <x v="2"/>
    <s v="Alison McGuigan"/>
    <s v="MCGUIGAN, A MPDF 2020-03"/>
    <s v="Campus"/>
    <d v="2020-07-01T00:00:00"/>
    <d v="2022-06-30T00:00:00"/>
    <n v="75000"/>
    <n v="24997.5"/>
  </r>
  <r>
    <n v="509285"/>
    <n v="209801"/>
    <s v="509285,209801"/>
    <x v="0"/>
    <s v="PDF"/>
    <x v="2"/>
    <s v="Julien Muffat"/>
    <s v="MUFFAT, J MPDF-2020-01"/>
    <s v="HSC"/>
    <d v="2020-07-01T00:00:00"/>
    <d v="2022-06-30T00:00:00"/>
    <n v="75000"/>
    <n v="24997.5"/>
  </r>
  <r>
    <n v="509588"/>
    <n v="208607"/>
    <s v="509588,208607"/>
    <x v="0"/>
    <s v="PDF"/>
    <x v="2"/>
    <s v="Clint Robbins"/>
    <s v="ROBBINS,C MPDF-2020-02"/>
    <s v="UHN"/>
    <d v="2020-07-01T00:00:00"/>
    <d v="2022-06-30T00:00:00"/>
    <n v="75000"/>
    <n v="24997.5"/>
  </r>
  <r>
    <n v="509589"/>
    <n v="212183"/>
    <s v="509589,212183"/>
    <x v="0"/>
    <s v="PDF"/>
    <x v="2"/>
    <s v="Sevan Hopyan"/>
    <s v="HOPYAN, S MPDF 2020-04"/>
    <s v="HSC"/>
    <d v="2020-09-01T00:00:00"/>
    <d v="2022-08-31T00:00:00"/>
    <n v="75000"/>
    <n v="24997.5"/>
  </r>
  <r>
    <n v="509633"/>
    <n v="209400"/>
    <s v="509633,209400"/>
    <x v="1"/>
    <s v="New Ideas"/>
    <x v="4"/>
    <s v="Michael Garton"/>
    <s v="Garton, M MbDNISF-2020-02"/>
    <s v="Campus"/>
    <d v="2020-08-01T00:00:00"/>
    <d v="2021-07-31T00:00:00"/>
    <n v="100000"/>
    <n v="33330"/>
  </r>
  <r>
    <n v="509633"/>
    <n v="209400"/>
    <s v="509633,209400"/>
    <x v="1"/>
    <s v="New Ideas"/>
    <x v="4"/>
    <s v="Michael Garton"/>
    <s v="Garton, M MbDNISF-2020-02"/>
    <s v="Campus"/>
    <d v="2020-08-01T00:00:00"/>
    <d v="2021-07-31T00:00:00"/>
    <n v="-64100"/>
    <n v="-21364.53"/>
  </r>
  <r>
    <n v="509633"/>
    <n v="209400"/>
    <s v="509633,209400"/>
    <x v="0"/>
    <s v="New Ideas"/>
    <x v="4"/>
    <s v="Michael Garton"/>
    <s v="Garton, M MbDNISF-2020-02"/>
    <s v="Campus"/>
    <d v="2020-08-01T00:00:00"/>
    <d v="2021-07-31T00:00:00"/>
    <n v="64100"/>
    <n v="21364.53"/>
  </r>
  <r>
    <n v="509653"/>
    <n v="207233"/>
    <s v="509653,207233"/>
    <x v="0"/>
    <s v="New Ideas"/>
    <x v="4"/>
    <s v="Penney Gilbert"/>
    <s v="Gilbert, P MbDNI-2020-02"/>
    <s v="Campus"/>
    <d v="2020-08-01T00:00:00"/>
    <d v="2021-07-31T00:00:00"/>
    <n v="10000"/>
    <n v="3333"/>
  </r>
  <r>
    <n v="509653"/>
    <n v="209194"/>
    <s v="509653,209194"/>
    <x v="0"/>
    <s v="New Ideas"/>
    <x v="4"/>
    <s v="Hyun (Kate) Lee"/>
    <s v="Lee, H MbDNI-2020-02"/>
    <s v="Campus"/>
    <d v="2020-08-01T00:00:00"/>
    <d v="2021-07-31T00:00:00"/>
    <n v="90000"/>
    <n v="29997"/>
  </r>
  <r>
    <n v="509666"/>
    <n v="208489"/>
    <s v="509666,208489"/>
    <x v="0"/>
    <s v="New Ideas"/>
    <x v="4"/>
    <s v="Julie Lefebvre"/>
    <s v="Lefebvre, J MbDNI-2020-01"/>
    <s v="HSC"/>
    <d v="2020-08-01T00:00:00"/>
    <d v="2021-07-31T00:00:00"/>
    <n v="33000"/>
    <n v="10998.9"/>
  </r>
  <r>
    <n v="509666"/>
    <n v="208810"/>
    <s v="509666,208810"/>
    <x v="0"/>
    <s v="New Ideas"/>
    <x v="4"/>
    <s v="Valerie Wallace"/>
    <s v="Wallace, V MbDNI-2020-01"/>
    <s v="UHN"/>
    <d v="2020-08-01T00:00:00"/>
    <d v="2021-07-31T00:00:00"/>
    <n v="23000"/>
    <n v="7665.9"/>
  </r>
  <r>
    <n v="509666"/>
    <n v="209438"/>
    <s v="509666,209438"/>
    <x v="0"/>
    <s v="New Ideas"/>
    <x v="4"/>
    <s v="Leo Chou"/>
    <s v="Chou, L MbDNI-2020-01"/>
    <s v="Campus"/>
    <d v="2020-08-01T00:00:00"/>
    <d v="2021-07-31T00:00:00"/>
    <n v="44000"/>
    <n v="14665.199999999999"/>
  </r>
  <r>
    <n v="509667"/>
    <n v="209936"/>
    <s v="509667,209936"/>
    <x v="0"/>
    <s v="New Ideas"/>
    <x v="4"/>
    <s v="Amy Wong"/>
    <s v="Wong, A MbDNI-2020-03"/>
    <s v="HSC"/>
    <d v="2020-08-01T00:00:00"/>
    <d v="2022-07-31T00:00:00"/>
    <n v="100000"/>
    <n v="33330"/>
  </r>
  <r>
    <n v="509703"/>
    <n v="200483"/>
    <s v="509703,200483"/>
    <x v="0"/>
    <s v="New Ideas"/>
    <x v="4"/>
    <s v="Philip Sherman"/>
    <s v="Sherman, P MbDNISF-2020-01"/>
    <s v="HSC"/>
    <d v="2020-08-01T00:00:00"/>
    <d v="2021-07-31T00:00:00"/>
    <n v="20000"/>
    <n v="6666"/>
  </r>
  <r>
    <n v="509703"/>
    <n v="209946"/>
    <s v="509703,209946"/>
    <x v="0"/>
    <s v="New Ideas"/>
    <x v="4"/>
    <s v="Agostino Pierro"/>
    <s v="Pierro, A MbDNISF-2020-01"/>
    <s v="HSC"/>
    <d v="2020-08-01T00:00:00"/>
    <d v="2021-07-31T00:00:00"/>
    <n v="80000"/>
    <n v="26664"/>
  </r>
  <r>
    <n v="509882"/>
    <n v="206244"/>
    <s v="509882,206244"/>
    <x v="0"/>
    <s v="New Ideas"/>
    <x v="4"/>
    <s v="William Navarre"/>
    <s v="Navarre, W MbDNISF-2020-04"/>
    <s v="Campus"/>
    <d v="2020-08-01T00:00:00"/>
    <d v="2022-01-31T00:00:00"/>
    <n v="19335"/>
    <n v="6444.3554999999997"/>
  </r>
  <r>
    <n v="509882"/>
    <n v="208725"/>
    <s v="509882,208725"/>
    <x v="0"/>
    <s v="New Ideas"/>
    <x v="4"/>
    <s v="Jason Maynes"/>
    <s v="Maynes, J MbDNISF-2020-04"/>
    <s v="HSC"/>
    <d v="2020-08-01T00:00:00"/>
    <d v="2022-01-31T00:00:00"/>
    <n v="41300"/>
    <n v="13765.289999999999"/>
  </r>
  <r>
    <n v="509882"/>
    <n v="211534"/>
    <s v="509882,211534"/>
    <x v="0"/>
    <s v="New Ideas"/>
    <x v="4"/>
    <s v="John Parkinson"/>
    <s v="Parkinson, J MbDNISF-2020-04"/>
    <s v="HSC"/>
    <d v="2020-08-01T00:00:00"/>
    <d v="2022-01-31T00:00:00"/>
    <n v="39365"/>
    <n v="13120.354499999999"/>
  </r>
  <r>
    <n v="511140"/>
    <n v="212630"/>
    <s v="511140,212630"/>
    <x v="0"/>
    <s v="New Ideas"/>
    <x v="4"/>
    <s v="Lincoln Stein"/>
    <s v="Stein, L MbDNISF-2020-03"/>
    <s v="Campus"/>
    <d v="2020-08-01T00:00:00"/>
    <d v="2021-07-31T00:00:00"/>
    <n v="100000"/>
    <n v="33330"/>
  </r>
  <r>
    <n v="511440"/>
    <n v="208728"/>
    <s v="511440,208728"/>
    <x v="0"/>
    <s v="EMHSeed"/>
    <x v="6"/>
    <s v="Michael Laflamme"/>
    <s v="Laflamme, M EMHS-2020-01"/>
    <s v="UHN"/>
    <d v="2020-09-01T00:00:00"/>
    <d v="2021-08-31T00:00:00"/>
    <n v="12500"/>
    <n v="4166.25"/>
  </r>
  <r>
    <n v="511440"/>
    <n v="209400"/>
    <s v="511440,209400"/>
    <x v="0"/>
    <s v="EMHSeed"/>
    <x v="6"/>
    <s v="Michael Garton"/>
    <s v="Garton, M EMHS-2020-01"/>
    <s v="Campus"/>
    <d v="2020-09-01T00:00:00"/>
    <d v="2021-08-31T00:00:00"/>
    <n v="12500"/>
    <n v="4166.2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">
  <r>
    <n v="499942"/>
    <n v="107525"/>
    <s v="499942,107525"/>
    <x v="0"/>
    <s v="Executive Director Funds: Operating"/>
    <x v="0"/>
    <x v="0"/>
    <s v="EXEC DIRECTOR FUNDS"/>
    <s v="Campus"/>
    <m/>
    <m/>
    <n v="500000"/>
    <n v="166650"/>
  </r>
  <r>
    <n v="500737"/>
    <n v="107525"/>
    <s v="500737,107525"/>
    <x v="0"/>
    <s v="Executive Director Funds: Scientific"/>
    <x v="0"/>
    <x v="0"/>
    <s v="Exec Director MedbD Scientific CFREF-ED"/>
    <s v="Campus"/>
    <d v="2015-09-01T00:00:00"/>
    <d v="2022-03-31T00:00:00"/>
    <n v="200000"/>
    <n v="66660"/>
  </r>
  <r>
    <n v="501333"/>
    <n v="207444"/>
    <s v="501333,207444"/>
    <x v="0"/>
    <s v="Cycle 1"/>
    <x v="1"/>
    <x v="1"/>
    <s v="Goyal,S CITPA-2016-01"/>
    <s v="Campus"/>
    <d v="2016-09-01T00:00:00"/>
    <d v="2020-09-16T00:00:00"/>
    <n v="-169.84"/>
    <n v="-56.607672000000001"/>
  </r>
  <r>
    <n v="501337"/>
    <n v="208379"/>
    <s v="501337,208379"/>
    <x v="1"/>
    <s v="Cycle 1"/>
    <x v="1"/>
    <x v="2"/>
    <s v="Pardee, K CITPA-2016-06"/>
    <s v="Campus"/>
    <d v="2016-09-01T00:00:00"/>
    <d v="2020-10-02T00:00:00"/>
    <n v="-47.3"/>
    <n v="-15.765089999999999"/>
  </r>
  <r>
    <n v="501337"/>
    <n v="208379"/>
    <s v="501337,208379"/>
    <x v="0"/>
    <s v="Cycle 1"/>
    <x v="1"/>
    <x v="2"/>
    <s v="Pardee, K CITPA-2016-06"/>
    <s v="Campus"/>
    <d v="2016-09-01T00:00:00"/>
    <d v="2020-10-02T00:00:00"/>
    <n v="-70.84"/>
    <n v="-23.610972"/>
  </r>
  <r>
    <n v="501339"/>
    <n v="208379"/>
    <s v="501339,208379"/>
    <x v="1"/>
    <s v="Cycle 1"/>
    <x v="1"/>
    <x v="2"/>
    <s v="Pardee, K CITPA-2016-10"/>
    <s v="Campus"/>
    <d v="2016-09-01T00:00:00"/>
    <d v="2020-10-02T00:00:00"/>
    <n v="-4.21"/>
    <n v="-1.4031929999999999"/>
  </r>
  <r>
    <n v="501339"/>
    <n v="208379"/>
    <s v="501339,208379"/>
    <x v="0"/>
    <s v="Cycle 1"/>
    <x v="1"/>
    <x v="2"/>
    <s v="Pardee, K CITPA-2016-10"/>
    <s v="Campus"/>
    <d v="2016-09-01T00:00:00"/>
    <d v="2020-10-13T00:00:00"/>
    <n v="-338.46"/>
    <n v="-112.80871799999998"/>
  </r>
  <r>
    <n v="502535"/>
    <n v="208616"/>
    <s v="502535,208616"/>
    <x v="0"/>
    <s v="PDF"/>
    <x v="2"/>
    <x v="3"/>
    <s v="NOSTRO C MPDF-2017-02"/>
    <s v="UHN"/>
    <d v="2020-04-01T00:00:00"/>
    <d v="2020-12-31T00:00:00"/>
    <n v="33333"/>
    <n v="11109.8889"/>
  </r>
  <r>
    <n v="504320"/>
    <n v="205554"/>
    <s v="504320,205554"/>
    <x v="0"/>
    <s v="PDF"/>
    <x v="2"/>
    <x v="4"/>
    <s v="SIMMONS C MPDF-2018"/>
    <s v="Campus"/>
    <d v="2018-05-01T00:00:00"/>
    <d v="2021-03-31T00:00:00"/>
    <n v="50000"/>
    <n v="16665"/>
  </r>
  <r>
    <n v="504321"/>
    <n v="205839"/>
    <s v="504321,205839"/>
    <x v="0"/>
    <s v="PDF"/>
    <x v="2"/>
    <x v="5"/>
    <s v="WHEELER A MPDF-2018"/>
    <s v="Campus"/>
    <d v="2018-04-01T00:00:00"/>
    <d v="2021-03-31T00:00:00"/>
    <n v="50000"/>
    <n v="16665"/>
  </r>
  <r>
    <n v="504322"/>
    <n v="208617"/>
    <s v="504322,208617"/>
    <x v="0"/>
    <s v="PDF"/>
    <x v="2"/>
    <x v="6"/>
    <s v="KIM T   MPDF-2018"/>
    <s v="HSC"/>
    <d v="2018-05-01T00:00:00"/>
    <d v="2021-07-31T00:00:00"/>
    <n v="50000"/>
    <n v="16665"/>
  </r>
  <r>
    <n v="504839"/>
    <n v="209210"/>
    <s v="504839,209210"/>
    <x v="0"/>
    <s v="Faculty Support"/>
    <x v="3"/>
    <x v="7"/>
    <s v="LI Y      CFREF-2017"/>
    <s v="HSC"/>
    <d v="2018-04-01T00:00:00"/>
    <d v="2020-11-30T00:00:00"/>
    <n v="87240"/>
    <n v="29077.091999999997"/>
  </r>
  <r>
    <n v="504875"/>
    <n v="209210"/>
    <s v="504875,209210"/>
    <x v="0"/>
    <s v="Faculty Support"/>
    <x v="3"/>
    <x v="7"/>
    <s v="LI Y      CFREF-2017"/>
    <s v="HSC"/>
    <d v="2018-04-01T00:00:00"/>
    <d v="2020-11-30T00:00:00"/>
    <n v="47500"/>
    <n v="15831.75"/>
  </r>
  <r>
    <n v="505082"/>
    <n v="212504"/>
    <s v="505082,212504"/>
    <x v="0"/>
    <s v="PDF"/>
    <x v="2"/>
    <x v="8"/>
    <s v="MILLER F MPDF-2018"/>
    <s v="HSC"/>
    <d v="2018-04-01T00:00:00"/>
    <d v="2021-03-31T00:00:00"/>
    <n v="50000"/>
    <n v="16665"/>
  </r>
  <r>
    <n v="505362"/>
    <n v="209346"/>
    <s v="505362,209346"/>
    <x v="0"/>
    <s v="Faculty Support"/>
    <x v="3"/>
    <x v="9"/>
    <s v="CROME S   CFREF-2018"/>
    <s v="UHN"/>
    <d v="2018-07-01T00:00:00"/>
    <d v="2021-06-30T00:00:00"/>
    <n v="150000"/>
    <n v="49995"/>
  </r>
  <r>
    <n v="505749"/>
    <n v="209403"/>
    <s v="505749,209403"/>
    <x v="0"/>
    <s v="Faculty Support"/>
    <x v="3"/>
    <x v="10"/>
    <s v="PROTZE S  CFREF-2018"/>
    <s v="UHN"/>
    <d v="2018-08-01T00:00:00"/>
    <d v="2020-07-31T00:00:00"/>
    <n v="62500"/>
    <n v="20831.25"/>
  </r>
  <r>
    <n v="506448"/>
    <n v="208217"/>
    <s v="506448,208217"/>
    <x v="0"/>
    <s v="PDF"/>
    <x v="2"/>
    <x v="11"/>
    <s v="TAIPALE M MPDF-2019"/>
    <s v="Campus"/>
    <d v="2019-04-01T00:00:00"/>
    <d v="2021-03-31T00:00:00"/>
    <n v="50000"/>
    <n v="16665"/>
  </r>
  <r>
    <n v="506449"/>
    <n v="203820"/>
    <s v="506449,203820"/>
    <x v="0"/>
    <s v="PDF"/>
    <x v="2"/>
    <x v="12"/>
    <s v="MORSHEAD C MPDF-2019"/>
    <s v="Campus"/>
    <d v="2019-04-01T00:00:00"/>
    <d v="2021-03-31T00:00:00"/>
    <n v="50000"/>
    <n v="16665"/>
  </r>
  <r>
    <n v="506450"/>
    <n v="208620"/>
    <s v="506450,208620"/>
    <x v="0"/>
    <s v="PDF"/>
    <x v="2"/>
    <x v="13"/>
    <s v="SCHRAMEK D MPDF-2019"/>
    <s v="SHS"/>
    <d v="2019-04-01T00:00:00"/>
    <d v="2022-03-31T00:00:00"/>
    <n v="50000"/>
    <n v="16665"/>
  </r>
  <r>
    <n v="506451"/>
    <n v="207233"/>
    <s v="506451,207233"/>
    <x v="0"/>
    <s v="PDF"/>
    <x v="2"/>
    <x v="14"/>
    <s v="GILBERT P MPDF-2019"/>
    <s v="Campus"/>
    <d v="2019-04-01T00:00:00"/>
    <d v="2022-03-31T00:00:00"/>
    <n v="50000"/>
    <n v="16665"/>
  </r>
  <r>
    <n v="506456"/>
    <n v="207032"/>
    <s v="506456,207032"/>
    <x v="0"/>
    <s v="New Ideas"/>
    <x v="4"/>
    <x v="15"/>
    <s v="Treanor, B MbDNI-2019-01"/>
    <s v="Campus"/>
    <d v="2019-04-01T00:00:00"/>
    <d v="2021-12-31T00:00:00"/>
    <n v="50000"/>
    <n v="16665"/>
  </r>
  <r>
    <n v="506456"/>
    <n v="209438"/>
    <s v="506456,209438"/>
    <x v="0"/>
    <s v="New Ideas"/>
    <x v="4"/>
    <x v="16"/>
    <s v="Chou, L MbDNI-2019-01"/>
    <s v="Campus"/>
    <d v="2019-04-01T00:00:00"/>
    <d v="2021-12-31T00:00:00"/>
    <n v="50000"/>
    <n v="16665"/>
  </r>
  <r>
    <n v="506457"/>
    <n v="208406"/>
    <s v="506457,208406"/>
    <x v="0"/>
    <s v="New Ideas"/>
    <x v="4"/>
    <x v="17"/>
    <s v="HAMILTON R MBDNI-2018"/>
    <s v="HSC"/>
    <d v="2019-04-01T00:00:00"/>
    <d v="2021-03-31T00:00:00"/>
    <n v="25000"/>
    <n v="8332.5"/>
  </r>
  <r>
    <n v="506457"/>
    <n v="212361"/>
    <s v="506457,212361"/>
    <x v="0"/>
    <s v="New Ideas"/>
    <x v="4"/>
    <x v="18"/>
    <s v="SIDHU S HAMILTON R MBDNI-201"/>
    <s v="Campus"/>
    <d v="2019-04-01T00:00:00"/>
    <d v="2021-03-31T00:00:00"/>
    <n v="75000"/>
    <n v="24997.5"/>
  </r>
  <r>
    <n v="506458"/>
    <n v="205547"/>
    <s v="506458,205547"/>
    <x v="0"/>
    <s v="New Ideas"/>
    <x v="4"/>
    <x v="19"/>
    <s v="SUN, Y HOPYAN MBDNI-2019"/>
    <s v="Campus"/>
    <d v="2020-04-02T00:00:00"/>
    <d v="2021-03-31T00:00:00"/>
    <n v="26980"/>
    <n v="8992.4339999999993"/>
  </r>
  <r>
    <n v="506458"/>
    <n v="212183"/>
    <s v="506458,212183"/>
    <x v="0"/>
    <s v="New Ideas"/>
    <x v="4"/>
    <x v="20"/>
    <s v="HOPYAN, S MBDNI-2019"/>
    <s v="HSC"/>
    <d v="2020-04-01T00:00:00"/>
    <d v="2021-03-31T00:00:00"/>
    <n v="71385"/>
    <n v="23792.620499999997"/>
  </r>
  <r>
    <n v="506459"/>
    <n v="205993"/>
    <s v="506459,205993"/>
    <x v="0"/>
    <s v="New Ideas"/>
    <x v="4"/>
    <x v="21"/>
    <s v="MAHADEVA R MBDNI-2018"/>
    <s v="Campus"/>
    <d v="2019-04-01T00:00:00"/>
    <d v="2021-03-31T00:00:00"/>
    <n v="36000"/>
    <n v="11998.8"/>
  </r>
  <r>
    <n v="506459"/>
    <n v="208379"/>
    <s v="506459,208379"/>
    <x v="0"/>
    <s v="New Ideas"/>
    <x v="4"/>
    <x v="2"/>
    <s v="PARDEE K MBDNI-2019-04"/>
    <s v="Campus"/>
    <d v="2019-04-01T00:00:00"/>
    <d v="2021-03-31T00:00:00"/>
    <n v="21000"/>
    <n v="6999.2999999999993"/>
  </r>
  <r>
    <n v="506459"/>
    <n v="208617"/>
    <s v="506459,208617"/>
    <x v="0"/>
    <s v="New Ideas"/>
    <x v="4"/>
    <x v="6"/>
    <s v="KIM, T  MAHADEVAN MBDNI-2018"/>
    <s v="HSC"/>
    <d v="2019-04-01T00:00:00"/>
    <d v="2021-03-31T00:00:00"/>
    <n v="30000"/>
    <n v="9999"/>
  </r>
  <r>
    <n v="507637"/>
    <n v="206014"/>
    <s v="507637,206014"/>
    <x v="0"/>
    <s v="Cycle 2 "/>
    <x v="5"/>
    <x v="22"/>
    <s v="Gramolini, A MbDC2-2019-01"/>
    <s v="Campus"/>
    <d v="2019-09-01T00:00:00"/>
    <d v="2021-11-30T00:00:00"/>
    <n v="40800"/>
    <n v="13598.64"/>
  </r>
  <r>
    <n v="507637"/>
    <n v="207636"/>
    <s v="507637,207636"/>
    <x v="0"/>
    <s v="Cycle 2 "/>
    <x v="5"/>
    <x v="23"/>
    <s v="Cheng, H-L MbDC2-2019-01"/>
    <s v="Campus"/>
    <d v="2019-09-01T00:00:00"/>
    <d v="2021-11-30T00:00:00"/>
    <n v="85000"/>
    <n v="28330.5"/>
  </r>
  <r>
    <n v="507637"/>
    <n v="208625"/>
    <s v="507637,208625"/>
    <x v="0"/>
    <s v="Cycle 2 "/>
    <x v="5"/>
    <x v="24"/>
    <s v="Epelman, S MbDC2-2019-01"/>
    <s v="UHN"/>
    <d v="2019-09-01T00:00:00"/>
    <d v="2021-11-30T00:00:00"/>
    <n v="63750"/>
    <n v="21247.875"/>
  </r>
  <r>
    <n v="507637"/>
    <n v="208728"/>
    <s v="507637,208728"/>
    <x v="0"/>
    <s v="Cycle 2 "/>
    <x v="5"/>
    <x v="25"/>
    <s v="Laflamme, M MbDC2-2019-01"/>
    <s v="UHN"/>
    <d v="2019-09-01T00:00:00"/>
    <d v="2021-11-30T00:00:00"/>
    <n v="378100"/>
    <n v="126020.73"/>
  </r>
  <r>
    <n v="507637"/>
    <n v="209491"/>
    <s v="507637,209491"/>
    <x v="0"/>
    <s v="Cycle 2 "/>
    <x v="5"/>
    <x v="26"/>
    <s v="Ghugre, N MbDC2-2019-01"/>
    <s v="SRI"/>
    <d v="2019-09-01T00:00:00"/>
    <d v="2021-11-30T00:00:00"/>
    <n v="153000"/>
    <n v="50994.899999999994"/>
  </r>
  <r>
    <n v="507637"/>
    <n v="209660"/>
    <s v="507637,209660"/>
    <x v="0"/>
    <s v="Cycle 2 "/>
    <x v="5"/>
    <x v="27"/>
    <s v="Friedberg, M MbDC2-2019-01"/>
    <s v="HSC"/>
    <d v="2019-09-01T00:00:00"/>
    <d v="2021-11-30T00:00:00"/>
    <n v="74800"/>
    <n v="24930.84"/>
  </r>
  <r>
    <n v="507637"/>
    <n v="211152"/>
    <s v="507637,211152"/>
    <x v="0"/>
    <s v="Cycle 2 "/>
    <x v="5"/>
    <x v="28"/>
    <s v="Heximer, S MbDC2-2019-01"/>
    <s v="Campus"/>
    <d v="2019-09-01T00:00:00"/>
    <d v="2021-11-30T00:00:00"/>
    <n v="40800"/>
    <n v="13598.64"/>
  </r>
  <r>
    <n v="507637"/>
    <n v="212636"/>
    <s v="507637,212636"/>
    <x v="0"/>
    <s v="Cycle 2 "/>
    <x v="5"/>
    <x v="29"/>
    <s v="Keller, G MbDC2-2019-01"/>
    <s v="UHN"/>
    <d v="2019-09-01T00:00:00"/>
    <d v="2021-11-30T00:00:00"/>
    <n v="63750"/>
    <n v="21247.875"/>
  </r>
  <r>
    <n v="507638"/>
    <n v="203770"/>
    <s v="507638,203770"/>
    <x v="0"/>
    <s v="Cycle 2 "/>
    <x v="5"/>
    <x v="30"/>
    <s v="Zandstra, P MbDC2-2019-02"/>
    <s v="UBC"/>
    <d v="2019-09-01T00:00:00"/>
    <d v="2021-11-30T00:00:00"/>
    <n v="40000"/>
    <n v="13332"/>
  </r>
  <r>
    <n v="507638"/>
    <n v="203820"/>
    <s v="507638,203820"/>
    <x v="0"/>
    <s v="Cycle 2 "/>
    <x v="5"/>
    <x v="12"/>
    <s v="Morshead, C MbDC2-2019-02"/>
    <s v="Campus"/>
    <d v="2019-09-01T00:00:00"/>
    <d v="2021-11-30T00:00:00"/>
    <n v="30000"/>
    <n v="9999"/>
  </r>
  <r>
    <n v="507638"/>
    <n v="206595"/>
    <s v="507638,206595"/>
    <x v="0"/>
    <s v="Cycle 2 "/>
    <x v="5"/>
    <x v="31"/>
    <s v="Mcguigan, A MbDC2-2019-02"/>
    <s v="Campus"/>
    <d v="2019-09-01T00:00:00"/>
    <d v="2021-11-30T00:00:00"/>
    <n v="133750"/>
    <n v="44578.875"/>
  </r>
  <r>
    <n v="507638"/>
    <n v="207233"/>
    <s v="507638,207233"/>
    <x v="0"/>
    <s v="Cycle 2 "/>
    <x v="5"/>
    <x v="14"/>
    <s v="Gilbert, P MbDC2-2019-02"/>
    <s v="Campus"/>
    <d v="2019-09-01T00:00:00"/>
    <d v="2021-11-30T00:00:00"/>
    <n v="133250"/>
    <n v="44412.224999999999"/>
  </r>
  <r>
    <n v="507638"/>
    <n v="207444"/>
    <s v="507638,207444"/>
    <x v="0"/>
    <s v="Cycle 2 "/>
    <x v="5"/>
    <x v="1"/>
    <s v="Goyal, S MbDC2-2019-02"/>
    <s v="Campus"/>
    <d v="2019-09-01T00:00:00"/>
    <d v="2021-11-30T00:00:00"/>
    <n v="100000"/>
    <n v="33330"/>
  </r>
  <r>
    <n v="507638"/>
    <n v="209210"/>
    <s v="507638,209210"/>
    <x v="0"/>
    <s v="Cycle 2 "/>
    <x v="5"/>
    <x v="7"/>
    <s v="Li, Y MbDC2-2019-02"/>
    <s v="HSC"/>
    <d v="2019-09-01T00:00:00"/>
    <d v="2021-11-30T00:00:00"/>
    <n v="62000"/>
    <n v="20664.599999999999"/>
  </r>
  <r>
    <n v="507638"/>
    <n v="211256"/>
    <s v="507638,211256"/>
    <x v="0"/>
    <s v="Cycle 2 "/>
    <x v="5"/>
    <x v="32"/>
    <s v="Kaplan, D MbDC2-2019-02"/>
    <s v="HSC"/>
    <d v="2019-09-01T00:00:00"/>
    <d v="2021-11-30T00:00:00"/>
    <n v="132500"/>
    <n v="44162.25"/>
  </r>
  <r>
    <n v="507638"/>
    <n v="211963"/>
    <s v="507638,211963"/>
    <x v="0"/>
    <s v="Cycle 2 "/>
    <x v="5"/>
    <x v="33"/>
    <s v="Bader, G MbDC2-2019-02"/>
    <s v="Campus"/>
    <d v="2019-09-01T00:00:00"/>
    <d v="2021-11-30T00:00:00"/>
    <n v="133500"/>
    <n v="44495.549999999996"/>
  </r>
  <r>
    <n v="507638"/>
    <n v="212504"/>
    <s v="507638,212504"/>
    <x v="0"/>
    <s v="Cycle 2 "/>
    <x v="5"/>
    <x v="8"/>
    <s v="Miller, F MbDC2-2019-02"/>
    <s v="HSC"/>
    <d v="2019-09-01T00:00:00"/>
    <d v="2021-11-30T00:00:00"/>
    <n v="133500"/>
    <n v="44495.549999999996"/>
  </r>
  <r>
    <n v="507639"/>
    <n v="206147"/>
    <s v="507639,206147"/>
    <x v="0"/>
    <s v="Cycle 2 "/>
    <x v="5"/>
    <x v="34"/>
    <s v="Angers, S MbDC2-2019-03"/>
    <s v="Campus"/>
    <d v="2019-09-01T00:00:00"/>
    <d v="2021-11-30T00:00:00"/>
    <n v="240000"/>
    <n v="79992"/>
  </r>
  <r>
    <n v="507639"/>
    <n v="206205"/>
    <s v="507639,206205"/>
    <x v="0"/>
    <s v="Cycle 2 "/>
    <x v="5"/>
    <x v="35"/>
    <s v="Moffat, J MbDC2-2019-03"/>
    <s v="Campus"/>
    <d v="2019-09-01T00:00:00"/>
    <d v="2021-11-30T00:00:00"/>
    <n v="240000"/>
    <n v="79992"/>
  </r>
  <r>
    <n v="507639"/>
    <n v="206595"/>
    <s v="507639,206595"/>
    <x v="0"/>
    <s v="Cycle 2 "/>
    <x v="5"/>
    <x v="31"/>
    <s v="Mcguigan, A MbDC2-2019-03"/>
    <s v="Campus"/>
    <d v="2019-09-01T00:00:00"/>
    <d v="2021-11-30T00:00:00"/>
    <n v="40000"/>
    <n v="13332"/>
  </r>
  <r>
    <n v="507639"/>
    <n v="208379"/>
    <s v="507639,208379"/>
    <x v="0"/>
    <s v="Cycle 2 "/>
    <x v="5"/>
    <x v="2"/>
    <s v="Pardee, K MbDC2-2019-03"/>
    <s v="Campus"/>
    <d v="2019-09-01T00:00:00"/>
    <d v="2021-11-30T00:00:00"/>
    <n v="80000"/>
    <n v="26664"/>
  </r>
  <r>
    <n v="507639"/>
    <n v="210174"/>
    <s v="507639,210174"/>
    <x v="1"/>
    <s v="Cycle 2 "/>
    <x v="5"/>
    <x v="36"/>
    <s v="Blencowe, B MbDC2-2019-03"/>
    <s v="Campus"/>
    <d v="2019-09-01T00:00:00"/>
    <d v="2020-11-30T00:00:00"/>
    <n v="8750"/>
    <n v="2916.375"/>
  </r>
  <r>
    <n v="507639"/>
    <n v="210174"/>
    <s v="507639,210174"/>
    <x v="0"/>
    <s v="Cycle 2 "/>
    <x v="5"/>
    <x v="36"/>
    <s v="Blencowe, B MbDC2-2019-03"/>
    <s v="Campus"/>
    <d v="2019-09-01T00:00:00"/>
    <d v="2021-11-30T00:00:00"/>
    <n v="80000"/>
    <n v="26664"/>
  </r>
  <r>
    <n v="507639"/>
    <n v="212065"/>
    <s v="507639,212065"/>
    <x v="1"/>
    <s v="Cycle 2 "/>
    <x v="5"/>
    <x v="37"/>
    <s v="Kelley, S MbDC2-2019-03"/>
    <s v="Campus"/>
    <d v="2019-09-01T00:00:00"/>
    <d v="2020-11-30T00:00:00"/>
    <n v="10000"/>
    <n v="3333"/>
  </r>
  <r>
    <n v="507639"/>
    <n v="212065"/>
    <s v="507639,212065"/>
    <x v="0"/>
    <s v="Cycle 2 "/>
    <x v="5"/>
    <x v="37"/>
    <s v="Kelley, S MbDC2-2019-03"/>
    <s v="Campus"/>
    <d v="2019-09-01T00:00:00"/>
    <d v="2021-11-30T00:00:00"/>
    <n v="275000"/>
    <n v="91657.5"/>
  </r>
  <r>
    <n v="507639"/>
    <n v="212361"/>
    <s v="507639,212361"/>
    <x v="0"/>
    <s v="Cycle 2 "/>
    <x v="5"/>
    <x v="18"/>
    <s v="Sidhu, S MbDC2-2019-03"/>
    <s v="Campus"/>
    <d v="2019-09-01T00:00:00"/>
    <d v="2021-11-30T00:00:00"/>
    <n v="240000"/>
    <n v="79992"/>
  </r>
  <r>
    <n v="507641"/>
    <n v="203173"/>
    <s v="507641,203173"/>
    <x v="0"/>
    <s v="Cycle 2 "/>
    <x v="5"/>
    <x v="38"/>
    <s v="Aubert, I MbDC2-2019-04"/>
    <s v="SRI"/>
    <d v="2019-09-01T00:00:00"/>
    <d v="2021-11-30T00:00:00"/>
    <n v="61765"/>
    <n v="20586.2745"/>
  </r>
  <r>
    <n v="507641"/>
    <n v="203820"/>
    <s v="507641,203820"/>
    <x v="0"/>
    <s v="Cycle 2 "/>
    <x v="5"/>
    <x v="12"/>
    <s v="Morshead, C MbDC2-2019-04"/>
    <s v="Campus"/>
    <d v="2019-09-01T00:00:00"/>
    <d v="2021-11-30T00:00:00"/>
    <n v="106595"/>
    <n v="35528.113499999999"/>
  </r>
  <r>
    <n v="507641"/>
    <n v="205592"/>
    <s v="507641,205592"/>
    <x v="0"/>
    <s v="Cycle 2 "/>
    <x v="5"/>
    <x v="39"/>
    <s v="Woodin, M MbDC2-2019-04"/>
    <s v="Campus"/>
    <d v="2019-09-01T00:00:00"/>
    <d v="2021-11-30T00:00:00"/>
    <n v="32000"/>
    <n v="10665.6"/>
  </r>
  <r>
    <n v="507641"/>
    <n v="208897"/>
    <s v="507641,208897"/>
    <x v="0"/>
    <s v="Cycle 2 "/>
    <x v="5"/>
    <x v="40"/>
    <s v="Faiz, M MbDC2-2019-04"/>
    <s v="Campus"/>
    <d v="2019-09-01T00:00:00"/>
    <d v="2021-11-30T00:00:00"/>
    <n v="73925"/>
    <n v="24639.202499999999"/>
  </r>
  <r>
    <n v="507641"/>
    <n v="208934"/>
    <s v="507641,208934"/>
    <x v="0"/>
    <s v="Cycle 2 "/>
    <x v="5"/>
    <x v="41"/>
    <s v="Shuurmans, C MbDC2-2019-04"/>
    <s v="SRI"/>
    <d v="2019-09-01T00:00:00"/>
    <d v="2021-11-30T00:00:00"/>
    <n v="58717"/>
    <n v="19570.376099999998"/>
  </r>
  <r>
    <n v="507642"/>
    <n v="200150"/>
    <s v="507642,200150"/>
    <x v="0"/>
    <s v="Cycle 2 "/>
    <x v="5"/>
    <x v="42"/>
    <s v="Cybulsky, M MbDC2-2019-05"/>
    <s v="UHN"/>
    <d v="2019-09-01T00:00:00"/>
    <d v="2021-11-30T00:00:00"/>
    <n v="85000"/>
    <n v="28330.5"/>
  </r>
  <r>
    <n v="507642"/>
    <n v="208607"/>
    <s v="507642,208607"/>
    <x v="0"/>
    <s v="Cycle 2 "/>
    <x v="5"/>
    <x v="43"/>
    <s v="Robbins, C MbDC2-2019-05"/>
    <s v="UHN"/>
    <d v="2019-09-01T00:00:00"/>
    <d v="2021-11-30T00:00:00"/>
    <n v="90000"/>
    <n v="29997"/>
  </r>
  <r>
    <n v="507642"/>
    <n v="212714"/>
    <s v="507642,212714"/>
    <x v="0"/>
    <s v="Cycle 2 "/>
    <x v="5"/>
    <x v="44"/>
    <s v="Fish, J MbDC2-2019-05"/>
    <s v="UHN"/>
    <d v="2019-09-01T00:00:00"/>
    <d v="2021-11-30T00:00:00"/>
    <n v="85000"/>
    <n v="28330.5"/>
  </r>
  <r>
    <n v="507643"/>
    <n v="201921"/>
    <s v="507643,201921"/>
    <x v="0"/>
    <s v="Cycle 2 "/>
    <x v="5"/>
    <x v="45"/>
    <s v="Shoichet, M MbDC2-2019-06"/>
    <s v="Campus"/>
    <d v="2019-09-01T00:00:00"/>
    <d v="2021-11-30T00:00:00"/>
    <n v="80000"/>
    <n v="26664"/>
  </r>
  <r>
    <n v="507643"/>
    <n v="208489"/>
    <s v="507643,208489"/>
    <x v="0"/>
    <s v="Cycle 2 "/>
    <x v="5"/>
    <x v="46"/>
    <s v="Lefebvre, J MbDC2-2019-06"/>
    <s v="HSC"/>
    <d v="2019-09-01T00:00:00"/>
    <d v="2021-11-30T00:00:00"/>
    <n v="75000"/>
    <n v="24997.5"/>
  </r>
  <r>
    <n v="507643"/>
    <n v="208810"/>
    <s v="507643,208810"/>
    <x v="0"/>
    <s v="Cycle 2 "/>
    <x v="5"/>
    <x v="47"/>
    <s v="Wallace, V MbDC2-2019-06"/>
    <s v="UHN"/>
    <d v="2019-09-01T00:00:00"/>
    <d v="2021-11-30T00:00:00"/>
    <n v="100000"/>
    <n v="33330"/>
  </r>
  <r>
    <n v="507643"/>
    <n v="211134"/>
    <s v="507643,211134"/>
    <x v="0"/>
    <s v="Cycle 2 "/>
    <x v="5"/>
    <x v="48"/>
    <s v="Van Der Kooy, D MbDC2-2019-06"/>
    <s v="Campus"/>
    <d v="2019-09-01T00:00:00"/>
    <d v="2021-11-30T00:00:00"/>
    <n v="80000"/>
    <n v="26664"/>
  </r>
  <r>
    <n v="507693"/>
    <n v="201921"/>
    <s v="507693,201921"/>
    <x v="0"/>
    <s v="Cycle 2 "/>
    <x v="5"/>
    <x v="45"/>
    <s v="Shoichet, M MbDC2-2019-07"/>
    <s v="Campus"/>
    <d v="2019-09-01T00:00:00"/>
    <d v="2021-11-30T00:00:00"/>
    <n v="66900"/>
    <n v="22297.77"/>
  </r>
  <r>
    <n v="507693"/>
    <n v="206130"/>
    <s v="507693,206130"/>
    <x v="0"/>
    <s v="Cycle 2 "/>
    <x v="5"/>
    <x v="49"/>
    <s v="Guenther, A MbDC2-2019-07"/>
    <s v="Campus"/>
    <d v="2019-09-01T00:00:00"/>
    <d v="2021-11-30T00:00:00"/>
    <n v="100350"/>
    <n v="33446.654999999999"/>
  </r>
  <r>
    <n v="507693"/>
    <n v="209184"/>
    <s v="507693,209184"/>
    <x v="0"/>
    <s v="Cycle 2 "/>
    <x v="5"/>
    <x v="50"/>
    <s v="Macparland, S MbDC2-2019-07"/>
    <s v="UHN"/>
    <d v="2019-09-01T00:00:00"/>
    <d v="2021-11-30T00:00:00"/>
    <n v="108000"/>
    <n v="35996.400000000001"/>
  </r>
  <r>
    <n v="507693"/>
    <n v="209766"/>
    <s v="507693,209766"/>
    <x v="0"/>
    <s v="Cycle 2 "/>
    <x v="5"/>
    <x v="51"/>
    <s v="Ogawa, S MbDC2-2019-07"/>
    <s v="UHN"/>
    <d v="2019-09-01T00:00:00"/>
    <d v="2021-11-30T00:00:00"/>
    <n v="108123"/>
    <n v="36037.395899999996"/>
  </r>
  <r>
    <n v="507693"/>
    <n v="211063"/>
    <s v="507693,211063"/>
    <x v="0"/>
    <s v="Cycle 2 "/>
    <x v="5"/>
    <x v="52"/>
    <s v="Bear, C MbDC2-2019-07"/>
    <s v="HSC"/>
    <d v="2019-09-01T00:00:00"/>
    <d v="2021-11-30T00:00:00"/>
    <n v="33450"/>
    <n v="11148.885"/>
  </r>
  <r>
    <n v="507693"/>
    <n v="211963"/>
    <s v="507693,211963"/>
    <x v="0"/>
    <s v="Cycle 2 "/>
    <x v="5"/>
    <x v="33"/>
    <s v="Bader, G MbDC2-2019-07"/>
    <s v="Campus"/>
    <d v="2019-09-01T00:00:00"/>
    <d v="2021-11-30T00:00:00"/>
    <n v="33450"/>
    <n v="11148.885"/>
  </r>
  <r>
    <n v="507693"/>
    <n v="212636"/>
    <s v="507693,212636"/>
    <x v="0"/>
    <s v="Cycle 2 "/>
    <x v="5"/>
    <x v="29"/>
    <s v="Keller, G MbDC2-2019-07"/>
    <s v="UHN"/>
    <d v="2019-09-01T00:00:00"/>
    <d v="2021-11-30T00:00:00"/>
    <n v="108370"/>
    <n v="36119.720999999998"/>
  </r>
  <r>
    <n v="507693"/>
    <n v="212893"/>
    <s v="507693,212893"/>
    <x v="0"/>
    <s v="Cycle 2 "/>
    <x v="5"/>
    <x v="53"/>
    <s v="McGilvray, I MbDC2-2019-07"/>
    <s v="UHN"/>
    <d v="2019-09-01T00:00:00"/>
    <d v="2021-11-30T00:00:00"/>
    <n v="108000"/>
    <n v="35996.400000000001"/>
  </r>
  <r>
    <n v="507776"/>
    <n v="208625"/>
    <s v="507776,208625"/>
    <x v="0"/>
    <s v="Cycle 2 "/>
    <x v="5"/>
    <x v="24"/>
    <s v="Epelman, S MbDC2-2019-09"/>
    <s v="UHN"/>
    <d v="2019-09-01T00:00:00"/>
    <d v="2021-11-30T00:00:00"/>
    <n v="83333"/>
    <n v="27774.888899999998"/>
  </r>
  <r>
    <n v="507776"/>
    <n v="208628"/>
    <s v="507776,208628"/>
    <x v="1"/>
    <s v="Cycle 2 "/>
    <x v="5"/>
    <x v="54"/>
    <s v="Billia, P MbDC2-2019-09"/>
    <s v="UHN"/>
    <d v="2019-09-01T00:00:00"/>
    <d v="2021-11-30T00:00:00"/>
    <n v="83334"/>
    <n v="27775.2222"/>
  </r>
  <r>
    <n v="507776"/>
    <n v="208628"/>
    <s v="507776,208628"/>
    <x v="0"/>
    <s v="Cycle 2 "/>
    <x v="5"/>
    <x v="54"/>
    <s v="Billia, P MbDC2-2019-09"/>
    <s v="UHN"/>
    <d v="2020-12-01T00:00:00"/>
    <d v="2020-12-01T00:00:00"/>
    <n v="-50000"/>
    <n v="-16665"/>
  </r>
  <r>
    <n v="507776"/>
    <n v="208808"/>
    <s v="507776,208808"/>
    <x v="0"/>
    <s v="Cycle 2 "/>
    <x v="5"/>
    <x v="55"/>
    <s v="Lupien, M MbDC2-2019-09"/>
    <s v="UHN"/>
    <d v="2019-09-01T00:00:00"/>
    <d v="2021-11-30T00:00:00"/>
    <n v="70000"/>
    <n v="23331"/>
  </r>
  <r>
    <n v="507776"/>
    <n v="209476"/>
    <s v="507776,209476"/>
    <x v="0"/>
    <s v="Cycle 2 "/>
    <x v="5"/>
    <x v="56"/>
    <s v="Awadalla, P MbDC2-2019-09"/>
    <s v="Campus"/>
    <d v="2019-09-01T00:00:00"/>
    <d v="2021-11-30T00:00:00"/>
    <n v="70000"/>
    <n v="23331"/>
  </r>
  <r>
    <n v="507776"/>
    <n v="209711"/>
    <s v="507776,209711"/>
    <x v="0"/>
    <s v="Cycle 2 "/>
    <x v="5"/>
    <x v="57"/>
    <s v="Chan, S MbDC2-2019-09"/>
    <s v="UHN"/>
    <d v="2019-09-01T00:00:00"/>
    <d v="2021-11-30T00:00:00"/>
    <n v="83333"/>
    <n v="27774.888899999998"/>
  </r>
  <r>
    <n v="507776"/>
    <n v="211377"/>
    <s v="507776,211377"/>
    <x v="0"/>
    <s v="Cycle 2 "/>
    <x v="5"/>
    <x v="58"/>
    <s v="Dick, J MbDC2-2019-09"/>
    <s v="UHN"/>
    <d v="2019-09-01T00:00:00"/>
    <d v="2021-11-30T00:00:00"/>
    <n v="60000"/>
    <n v="19998"/>
  </r>
  <r>
    <n v="507776"/>
    <n v="211963"/>
    <s v="507776,211963"/>
    <x v="0"/>
    <s v="Cycle 2 "/>
    <x v="5"/>
    <x v="33"/>
    <s v="Bader, G MbDC2-2019-09"/>
    <s v="Campus"/>
    <d v="2019-09-01T00:00:00"/>
    <d v="2021-11-30T00:00:00"/>
    <n v="50000"/>
    <n v="16665"/>
  </r>
  <r>
    <n v="507776"/>
    <n v="213194"/>
    <s v="507776,213194"/>
    <x v="0"/>
    <s v="Cycle 2 "/>
    <x v="5"/>
    <x v="59"/>
    <s v="Abelson, Sagi MbDC2-2019-09"/>
    <s v="Campus"/>
    <d v="2019-09-01T00:00:00"/>
    <d v="2021-11-30T00:00:00"/>
    <n v="50000"/>
    <n v="16665"/>
  </r>
  <r>
    <n v="507777"/>
    <n v="203561"/>
    <s v="507777,203561"/>
    <x v="0"/>
    <s v="Cycle 2 "/>
    <x v="5"/>
    <x v="60"/>
    <s v="Waddell, T MbDC2-2019-10"/>
    <s v="UHN"/>
    <d v="2019-09-01T00:00:00"/>
    <d v="2021-11-30T00:00:00"/>
    <n v="89064"/>
    <n v="29685.031199999998"/>
  </r>
  <r>
    <n v="507777"/>
    <n v="203628"/>
    <s v="507777,203628"/>
    <x v="0"/>
    <s v="Cycle 2 "/>
    <x v="5"/>
    <x v="61"/>
    <s v="Keshavjee, S MbDC2-2019-10"/>
    <s v="UHN"/>
    <d v="2019-09-01T00:00:00"/>
    <d v="2021-11-30T00:00:00"/>
    <n v="201530"/>
    <n v="67169.948999999993"/>
  </r>
  <r>
    <n v="507777"/>
    <n v="206121"/>
    <s v="507777,206121"/>
    <x v="0"/>
    <s v="Cycle 2 "/>
    <x v="5"/>
    <x v="62"/>
    <s v="Amon, C MbDC2-2019-10"/>
    <s v="Campus"/>
    <d v="2019-09-01T00:00:00"/>
    <d v="2021-11-30T00:00:00"/>
    <n v="103320"/>
    <n v="34436.555999999997"/>
  </r>
  <r>
    <n v="507777"/>
    <n v="206470"/>
    <s v="507777,206470"/>
    <x v="0"/>
    <s v="Cycle 2 "/>
    <x v="5"/>
    <x v="63"/>
    <s v="Bazylak, A MbDC2-2019-10"/>
    <s v="Campus"/>
    <d v="2019-09-01T00:00:00"/>
    <d v="2021-11-30T00:00:00"/>
    <n v="54000"/>
    <n v="17998.2"/>
  </r>
  <r>
    <n v="507777"/>
    <n v="208815"/>
    <s v="507777,208815"/>
    <x v="0"/>
    <s v="Cycle 2 "/>
    <x v="5"/>
    <x v="64"/>
    <s v="Cypel, M MbDC2-2019-10"/>
    <s v="UHN"/>
    <d v="2019-09-01T00:00:00"/>
    <d v="2021-11-30T00:00:00"/>
    <n v="48240"/>
    <n v="16078.392"/>
  </r>
  <r>
    <n v="507778"/>
    <n v="207444"/>
    <s v="507778,207444"/>
    <x v="0"/>
    <s v="Cycle 2 "/>
    <x v="5"/>
    <x v="1"/>
    <s v="Goyal, S MbDC2-2019-08"/>
    <s v="Campus"/>
    <d v="2019-09-01T00:00:00"/>
    <d v="2021-11-30T00:00:00"/>
    <n v="50000"/>
    <n v="16665"/>
  </r>
  <r>
    <n v="507778"/>
    <n v="210089"/>
    <s v="507778,210089"/>
    <x v="1"/>
    <s v="Cycle 2 "/>
    <x v="5"/>
    <x v="65"/>
    <s v="Wrana, J MbDC2-2019-08"/>
    <s v="SHS"/>
    <d v="2019-09-01T00:00:00"/>
    <d v="2020-11-30T00:00:00"/>
    <n v="26250"/>
    <n v="8749.125"/>
  </r>
  <r>
    <n v="507778"/>
    <n v="210089"/>
    <s v="507778,210089"/>
    <x v="0"/>
    <s v="Cycle 2 "/>
    <x v="5"/>
    <x v="65"/>
    <s v="Wrana, J MbDC2-2019-08"/>
    <s v="SHS"/>
    <d v="2019-09-01T00:00:00"/>
    <d v="2021-11-30T00:00:00"/>
    <n v="169000"/>
    <n v="56327.7"/>
  </r>
  <r>
    <n v="507778"/>
    <n v="210174"/>
    <s v="507778,210174"/>
    <x v="1"/>
    <s v="Cycle 2 "/>
    <x v="5"/>
    <x v="36"/>
    <s v="Blencowe,B MbDC2-2019-08"/>
    <s v="Campus"/>
    <d v="2019-09-01T00:00:00"/>
    <d v="2020-11-30T00:00:00"/>
    <n v="14250"/>
    <n v="4749.5249999999996"/>
  </r>
  <r>
    <n v="507778"/>
    <n v="210174"/>
    <s v="507778,210174"/>
    <x v="0"/>
    <s v="Cycle 2 "/>
    <x v="5"/>
    <x v="36"/>
    <s v="Blencowe, B MbDC2-2019-08"/>
    <s v="Campus"/>
    <d v="2019-09-01T00:00:00"/>
    <d v="2021-11-30T00:00:00"/>
    <n v="66000"/>
    <n v="21997.8"/>
  </r>
  <r>
    <n v="507778"/>
    <n v="211058"/>
    <s v="507778,211058"/>
    <x v="1"/>
    <s v="Cycle 2 "/>
    <x v="5"/>
    <x v="66"/>
    <s v="Attisano, L MbDC2-2019-08"/>
    <s v="Campus"/>
    <d v="2019-09-01T00:00:00"/>
    <d v="2020-11-30T00:00:00"/>
    <n v="11875"/>
    <n v="3957.9375"/>
  </r>
  <r>
    <n v="507778"/>
    <n v="211058"/>
    <s v="507778,211058"/>
    <x v="0"/>
    <s v="Cycle 2 "/>
    <x v="5"/>
    <x v="66"/>
    <s v="Attisano, L MbDC2-2019-08"/>
    <s v="Campus"/>
    <d v="2019-09-01T00:00:00"/>
    <d v="2021-11-30T00:00:00"/>
    <n v="76000"/>
    <n v="25330.799999999999"/>
  </r>
  <r>
    <n v="507778"/>
    <n v="212343"/>
    <s v="507778,212343"/>
    <x v="1"/>
    <s v="Cycle 2 "/>
    <x v="5"/>
    <x v="67"/>
    <s v="Pelletier, L MbDC2-2019-08"/>
    <s v="SHS"/>
    <d v="2019-09-01T00:00:00"/>
    <d v="2020-11-30T00:00:00"/>
    <n v="25750"/>
    <n v="8582.4750000000004"/>
  </r>
  <r>
    <n v="507778"/>
    <n v="212343"/>
    <s v="507778,212343"/>
    <x v="0"/>
    <s v="Cycle 2 "/>
    <x v="5"/>
    <x v="67"/>
    <s v="Pelletier, L MbDC2-2019-08"/>
    <s v="SHS"/>
    <d v="2019-09-01T00:00:00"/>
    <d v="2021-11-30T00:00:00"/>
    <n v="139000"/>
    <n v="46328.7"/>
  </r>
  <r>
    <n v="507779"/>
    <n v="200037"/>
    <s v="507779,200037"/>
    <x v="0"/>
    <s v="Cycle 2 "/>
    <x v="5"/>
    <x v="68"/>
    <s v="Zuniga-Pflucker, J MbDC2-2020-11"/>
    <s v="SRI"/>
    <d v="2019-09-01T00:00:00"/>
    <d v="2021-11-30T00:00:00"/>
    <n v="95000"/>
    <n v="31663.5"/>
  </r>
  <r>
    <n v="507779"/>
    <n v="208609"/>
    <s v="507779,208609"/>
    <x v="0"/>
    <s v="Cycle 2 "/>
    <x v="5"/>
    <x v="69"/>
    <s v="Nagy, Andras MbDC2-2020-11"/>
    <s v="SHS"/>
    <d v="2019-09-01T00:00:00"/>
    <d v="2021-11-30T00:00:00"/>
    <n v="200000"/>
    <n v="66660"/>
  </r>
  <r>
    <n v="507779"/>
    <n v="208616"/>
    <s v="507779,208616"/>
    <x v="0"/>
    <s v="Cycle 2 "/>
    <x v="5"/>
    <x v="3"/>
    <s v="Nostro, C MbDC2-2020-11"/>
    <s v="UHN"/>
    <d v="2019-09-01T00:00:00"/>
    <d v="2021-11-30T00:00:00"/>
    <n v="80000"/>
    <n v="26664"/>
  </r>
  <r>
    <n v="507779"/>
    <n v="208630"/>
    <s v="507779,208630"/>
    <x v="0"/>
    <s v="Cycle 2 "/>
    <x v="5"/>
    <x v="70"/>
    <s v="Hirano, N MbDC2-2020-11"/>
    <s v="UHN"/>
    <d v="2019-09-01T00:00:00"/>
    <d v="2021-11-30T00:00:00"/>
    <n v="75000"/>
    <n v="24997.5"/>
  </r>
  <r>
    <n v="507779"/>
    <n v="208631"/>
    <s v="507779,208631"/>
    <x v="0"/>
    <s v="Cycle 2 "/>
    <x v="5"/>
    <x v="71"/>
    <s v="Mcgaha, L MbDC2-2020-11"/>
    <s v="UHN"/>
    <d v="2019-09-01T00:00:00"/>
    <d v="2021-11-30T00:00:00"/>
    <n v="50000"/>
    <n v="16665"/>
  </r>
  <r>
    <n v="507779"/>
    <n v="208750"/>
    <s v="507779,208750"/>
    <x v="0"/>
    <s v="Cycle 2 "/>
    <x v="5"/>
    <x v="72"/>
    <s v="Vasconcelos, S MbDC2-2020-11"/>
    <s v="UHN"/>
    <d v="2019-09-01T00:00:00"/>
    <d v="2021-11-30T00:00:00"/>
    <n v="70000"/>
    <n v="23331"/>
  </r>
  <r>
    <n v="507779"/>
    <n v="209346"/>
    <s v="507779,209346"/>
    <x v="0"/>
    <s v="Cycle 2 "/>
    <x v="5"/>
    <x v="9"/>
    <s v="Crome, S MbDC2-2020-11"/>
    <s v="UHN"/>
    <d v="2019-09-01T00:00:00"/>
    <d v="2021-11-30T00:00:00"/>
    <n v="80000"/>
    <n v="26664"/>
  </r>
  <r>
    <n v="507782"/>
    <n v="202616"/>
    <s v="507782,202616"/>
    <x v="0"/>
    <s v="Executive Director Award: Zandstra/Sefton"/>
    <x v="0"/>
    <x v="73"/>
    <s v="SEFTON M "/>
    <s v="Campus"/>
    <d v="2020-09-01T00:00:00"/>
    <d v="2021-08-31T00:00:00"/>
    <n v="300000"/>
    <n v="99990"/>
  </r>
  <r>
    <n v="508292"/>
    <n v="211058"/>
    <s v="508292,211058"/>
    <x v="1"/>
    <s v="Cycle 2 "/>
    <x v="5"/>
    <x v="66"/>
    <s v="Attisano, L MBDC2-2019-11"/>
    <s v="Campus"/>
    <d v="2019-09-01T00:00:00"/>
    <d v="2020-03-11T00:00:00"/>
    <n v="18750"/>
    <n v="6249.375"/>
  </r>
  <r>
    <n v="508292"/>
    <n v="211058"/>
    <s v="508292,211058"/>
    <x v="0"/>
    <s v="Cycle 2 "/>
    <x v="5"/>
    <x v="66"/>
    <s v="Attisano, L MbDC2-2019-11"/>
    <s v="Campus"/>
    <d v="2019-09-01T00:00:00"/>
    <d v="2021-11-30T00:00:00"/>
    <n v="100000"/>
    <n v="33330"/>
  </r>
  <r>
    <n v="509180"/>
    <n v="209792"/>
    <s v="509180,209792"/>
    <x v="0"/>
    <s v="Faculty Support"/>
    <x v="3"/>
    <x v="74"/>
    <s v="KHAN, O CFREF-2020"/>
    <s v="Campus"/>
    <d v="2020-05-01T00:00:00"/>
    <d v="2022-09-01T00:00:00"/>
    <n v="165101"/>
    <n v="55028.1633"/>
  </r>
  <r>
    <n v="509181"/>
    <n v="209792"/>
    <s v="509181,209792"/>
    <x v="1"/>
    <s v="Faculty Support"/>
    <x v="3"/>
    <x v="74"/>
    <s v="KHAN, O CFREF-2020"/>
    <s v="Campus"/>
    <d v="2020-05-01T00:00:00"/>
    <d v="2022-09-01T00:00:00"/>
    <n v="608571"/>
    <n v="202836.71429999999"/>
  </r>
  <r>
    <n v="509181"/>
    <n v="209792"/>
    <s v="509181,209792"/>
    <x v="1"/>
    <s v="Faculty Support"/>
    <x v="3"/>
    <x v="74"/>
    <s v="KHAN, O CFREF-2020"/>
    <s v="Campus"/>
    <d v="2020-05-01T00:00:00"/>
    <d v="2022-09-01T00:00:00"/>
    <n v="-445000"/>
    <n v="-148318.5"/>
  </r>
  <r>
    <n v="509181"/>
    <n v="209792"/>
    <s v="509181,209792"/>
    <x v="0"/>
    <s v="Faculty Support"/>
    <x v="3"/>
    <x v="74"/>
    <s v="KHAN, O CFREF-2020"/>
    <s v="Campus"/>
    <d v="2020-05-01T00:00:00"/>
    <d v="2022-09-01T00:00:00"/>
    <n v="445000"/>
    <n v="148318.5"/>
  </r>
  <r>
    <n v="509284"/>
    <n v="206595"/>
    <s v="509284,206595"/>
    <x v="0"/>
    <s v="PDF"/>
    <x v="2"/>
    <x v="31"/>
    <s v="MCGUIGAN, A MPDF 2020-03"/>
    <s v="Campus"/>
    <d v="2020-07-01T00:00:00"/>
    <d v="2021-06-30T00:00:00"/>
    <n v="75000"/>
    <n v="24997.5"/>
  </r>
  <r>
    <n v="509285"/>
    <n v="209801"/>
    <s v="509285,209801"/>
    <x v="0"/>
    <s v="PDF"/>
    <x v="2"/>
    <x v="75"/>
    <s v="MUFFAT, J MPDF-2020-01"/>
    <s v="HSC"/>
    <d v="2020-07-01T00:00:00"/>
    <d v="2021-06-30T00:00:00"/>
    <n v="75000"/>
    <n v="24997.5"/>
  </r>
  <r>
    <n v="509588"/>
    <n v="208607"/>
    <s v="509588,208607"/>
    <x v="1"/>
    <s v="PDF"/>
    <x v="2"/>
    <x v="43"/>
    <s v="ROBBINS,C MPDF-2020-02"/>
    <s v="UHN"/>
    <d v="2020-07-01T00:00:00"/>
    <d v="2021-06-30T00:00:00"/>
    <n v="75000"/>
    <n v="24997.5"/>
  </r>
  <r>
    <n v="509588"/>
    <n v="208607"/>
    <s v="509588,208607"/>
    <x v="0"/>
    <s v="PDF"/>
    <x v="2"/>
    <x v="43"/>
    <s v="Robbins, C MPDF-2020-02"/>
    <s v="UHN"/>
    <d v="2020-07-01T00:00:00"/>
    <d v="2021-04-12T00:00:00"/>
    <n v="-10024.83"/>
    <n v="-3341.2758389999999"/>
  </r>
  <r>
    <n v="509589"/>
    <n v="212183"/>
    <s v="509589,212183"/>
    <x v="0"/>
    <s v="PDF"/>
    <x v="2"/>
    <x v="20"/>
    <s v="HOPYAN, S MPDF 2020-04"/>
    <s v="HSC"/>
    <d v="2020-09-01T00:00:00"/>
    <d v="2021-08-30T00:00:00"/>
    <n v="75000"/>
    <n v="24997.5"/>
  </r>
  <r>
    <n v="509633"/>
    <n v="209400"/>
    <s v="509633,209400"/>
    <x v="1"/>
    <s v="New Ideas"/>
    <x v="4"/>
    <x v="76"/>
    <s v="Garton, M MbDNISF-2020-02"/>
    <s v="Campus"/>
    <d v="2020-08-01T00:00:00"/>
    <d v="2021-07-31T00:00:00"/>
    <n v="100000"/>
    <n v="33330"/>
  </r>
  <r>
    <n v="509633"/>
    <n v="209400"/>
    <s v="509633,209400"/>
    <x v="1"/>
    <s v="New Ideas"/>
    <x v="4"/>
    <x v="76"/>
    <s v="Garton, M MbDNISF-2020-02"/>
    <s v="Campus"/>
    <d v="2020-08-01T00:00:00"/>
    <d v="2021-07-31T00:00:00"/>
    <n v="-64100"/>
    <n v="-21364.53"/>
  </r>
  <r>
    <n v="509633"/>
    <n v="209400"/>
    <s v="509633,209400"/>
    <x v="0"/>
    <s v="New Ideas"/>
    <x v="4"/>
    <x v="76"/>
    <s v="Garton, M MbDNISF-2020-02"/>
    <s v="Campus"/>
    <d v="2020-08-01T00:00:00"/>
    <d v="2021-07-31T00:00:00"/>
    <n v="64100"/>
    <n v="21364.53"/>
  </r>
  <r>
    <n v="509653"/>
    <n v="207233"/>
    <s v="509653,207233"/>
    <x v="0"/>
    <s v="New Ideas"/>
    <x v="4"/>
    <x v="14"/>
    <s v="Gilbert, P MbDNI-2020-02"/>
    <s v="Campus"/>
    <d v="2020-08-01T00:00:00"/>
    <d v="2021-07-31T00:00:00"/>
    <n v="10000"/>
    <n v="3333"/>
  </r>
  <r>
    <n v="509653"/>
    <n v="209194"/>
    <s v="509653,209194"/>
    <x v="0"/>
    <s v="New Ideas"/>
    <x v="4"/>
    <x v="77"/>
    <s v="Lee, H MbDNI-2020-02"/>
    <s v="Campus"/>
    <d v="2020-08-01T00:00:00"/>
    <d v="2021-07-31T00:00:00"/>
    <n v="90000"/>
    <n v="29997"/>
  </r>
  <r>
    <n v="509666"/>
    <n v="208489"/>
    <s v="509666,208489"/>
    <x v="0"/>
    <s v="New Ideas"/>
    <x v="4"/>
    <x v="46"/>
    <s v="Lefebvre, J MbDNI-2020-01"/>
    <s v="HSC"/>
    <d v="2020-08-01T00:00:00"/>
    <d v="2021-07-31T00:00:00"/>
    <n v="33000"/>
    <n v="10998.9"/>
  </r>
  <r>
    <n v="509666"/>
    <n v="208810"/>
    <s v="509666,208810"/>
    <x v="0"/>
    <s v="New Ideas"/>
    <x v="4"/>
    <x v="47"/>
    <s v="Wallace, V MbDNI-2020-01"/>
    <s v="UHN"/>
    <d v="2020-08-01T00:00:00"/>
    <d v="2021-07-31T00:00:00"/>
    <n v="23000"/>
    <n v="7665.9"/>
  </r>
  <r>
    <n v="509666"/>
    <n v="209438"/>
    <s v="509666,209438"/>
    <x v="0"/>
    <s v="New Ideas"/>
    <x v="4"/>
    <x v="16"/>
    <s v="Chou, L MbDNI-2020-01"/>
    <s v="Campus"/>
    <d v="2020-08-01T00:00:00"/>
    <d v="2021-07-31T00:00:00"/>
    <n v="44000"/>
    <n v="14665.199999999999"/>
  </r>
  <r>
    <n v="509667"/>
    <n v="209936"/>
    <s v="509667,209936"/>
    <x v="0"/>
    <s v="New Ideas"/>
    <x v="4"/>
    <x v="78"/>
    <s v="Wong, A MbDNI-2020-03"/>
    <s v="HSC"/>
    <d v="2020-08-01T00:00:00"/>
    <d v="2021-07-31T00:00:00"/>
    <n v="100000"/>
    <n v="33330"/>
  </r>
  <r>
    <n v="509703"/>
    <n v="200483"/>
    <s v="509703,200483"/>
    <x v="0"/>
    <s v="New Ideas"/>
    <x v="4"/>
    <x v="79"/>
    <s v="Sherman, P MbDNISF-2020-01"/>
    <s v="HSC"/>
    <d v="2020-08-01T00:00:00"/>
    <d v="2021-07-31T00:00:00"/>
    <n v="20000"/>
    <n v="6666"/>
  </r>
  <r>
    <n v="509703"/>
    <n v="209946"/>
    <s v="509703,209946"/>
    <x v="0"/>
    <s v="New Ideas"/>
    <x v="4"/>
    <x v="80"/>
    <s v="Pierro, A MbDNISF-2020-01"/>
    <s v="HSC"/>
    <d v="2020-08-01T00:00:00"/>
    <d v="2021-07-31T00:00:00"/>
    <n v="80000"/>
    <n v="26664"/>
  </r>
  <r>
    <n v="509882"/>
    <n v="206244"/>
    <s v="509882,206244"/>
    <x v="0"/>
    <s v="New Ideas"/>
    <x v="4"/>
    <x v="81"/>
    <s v="Navarre, W MbDNISF-2020-04"/>
    <s v="Campus"/>
    <d v="2020-08-01T00:00:00"/>
    <d v="2021-07-31T00:00:00"/>
    <n v="19335"/>
    <n v="6444.3554999999997"/>
  </r>
  <r>
    <n v="509882"/>
    <n v="208725"/>
    <s v="509882,208725"/>
    <x v="0"/>
    <s v="New Ideas"/>
    <x v="4"/>
    <x v="82"/>
    <s v="Maynes, J MbDNISF-2020-04"/>
    <s v="HSC"/>
    <d v="2020-08-01T00:00:00"/>
    <d v="2021-07-31T00:00:00"/>
    <n v="41300"/>
    <n v="13765.289999999999"/>
  </r>
  <r>
    <n v="509882"/>
    <n v="211534"/>
    <s v="509882,211534"/>
    <x v="0"/>
    <s v="New Ideas"/>
    <x v="4"/>
    <x v="83"/>
    <s v="Parkinson, J MbDNISF-2020-04"/>
    <s v="HSC"/>
    <d v="2020-08-01T00:00:00"/>
    <d v="2021-07-31T00:00:00"/>
    <n v="39365"/>
    <n v="13120.354499999999"/>
  </r>
  <r>
    <n v="511140"/>
    <n v="212630"/>
    <s v="511140,212630"/>
    <x v="0"/>
    <s v="New Ideas"/>
    <x v="4"/>
    <x v="84"/>
    <s v="Stein, L MbDNISF-2020-03"/>
    <s v="Campus"/>
    <d v="2020-08-01T00:00:00"/>
    <d v="2021-07-31T00:00:00"/>
    <n v="100000"/>
    <n v="33330"/>
  </r>
  <r>
    <n v="511440"/>
    <n v="208728"/>
    <s v="511440,208728"/>
    <x v="0"/>
    <s v="EMHSeed"/>
    <x v="6"/>
    <x v="25"/>
    <s v="Laflamme, M EMHS-2020-01"/>
    <s v="UHN"/>
    <d v="2020-09-01T00:00:00"/>
    <d v="2021-08-31T00:00:00"/>
    <n v="12500"/>
    <n v="4166.25"/>
  </r>
  <r>
    <n v="511440"/>
    <n v="209400"/>
    <s v="511440,209400"/>
    <x v="0"/>
    <s v="EMHSeed"/>
    <x v="6"/>
    <x v="76"/>
    <s v="Garton, M EMHS-2020-01"/>
    <s v="Campus"/>
    <d v="2020-09-01T00:00:00"/>
    <d v="2021-08-31T00:00:00"/>
    <n v="12500"/>
    <n v="4166.25"/>
  </r>
  <r>
    <n v="511777"/>
    <n v="213181"/>
    <s v="511777,213181"/>
    <x v="0"/>
    <s v="Faculty Support"/>
    <x v="3"/>
    <x v="85"/>
    <s v="Jones, C CFREF-2021"/>
    <s v="UHN"/>
    <d v="2021-01-01T00:00:00"/>
    <d v="2022-09-01T00:00:00"/>
    <n v="50000"/>
    <n v="16665"/>
  </r>
  <r>
    <n v="511799"/>
    <n v="211377"/>
    <s v="511799,211377"/>
    <x v="0"/>
    <s v="Special Projects"/>
    <x v="7"/>
    <x v="58"/>
    <s v="Dick, J MbDSP-2020-01"/>
    <s v="UHN"/>
    <d v="2020-07-01T00:00:00"/>
    <d v="2021-06-30T00:00:00"/>
    <n v="150000"/>
    <n v="49995"/>
  </r>
  <r>
    <n v="511941"/>
    <n v="213182"/>
    <s v="511941,213182"/>
    <x v="0"/>
    <s v="Faculty Support"/>
    <x v="3"/>
    <x v="86"/>
    <s v="Hope, Kristin CFREF-2021"/>
    <s v="UHN"/>
    <d v="2021-01-01T00:00:00"/>
    <d v="2022-09-01T00:00:00"/>
    <n v="50000"/>
    <n v="16665"/>
  </r>
  <r>
    <n v="512148"/>
    <n v="213202"/>
    <s v="512148,213202"/>
    <x v="0"/>
    <s v="Faculty Support"/>
    <x v="3"/>
    <x v="87"/>
    <s v="Wang, C CFREF-2021"/>
    <s v="SRI"/>
    <d v="2021-04-01T00:00:00"/>
    <d v="2022-09-01T00:00:00"/>
    <n v="30636"/>
    <n v="10210.978799999999"/>
  </r>
  <r>
    <n v="512403"/>
    <n v="208807"/>
    <s v="512403,208807"/>
    <x v="0"/>
    <s v="Special Projects"/>
    <x v="7"/>
    <x v="88"/>
    <s v="Licht, C MbDSP-2020-02"/>
    <s v="HSC"/>
    <d v="2020-07-01T00:00:00"/>
    <d v="2022-06-30T00:00:00"/>
    <n v="150000"/>
    <n v="4999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">
  <r>
    <n v="499942"/>
    <n v="107525"/>
    <x v="0"/>
    <s v="EXECUTIVE DIRECTOR, MBD"/>
    <s v="Exec Dir, CFREF-ED"/>
    <s v="Campus"/>
    <d v="2015-09-01T00:00:00"/>
    <d v="2022-03-31T00:00:00"/>
    <n v="60000"/>
    <n v="19998"/>
  </r>
  <r>
    <n v="499942"/>
    <n v="107525"/>
    <x v="0"/>
    <s v="EXECUTIVE DIRECTOR, MBD"/>
    <s v="Exec Dir, CFREF-ED"/>
    <s v="Campus"/>
    <d v="2015-09-01T00:00:00"/>
    <d v="2023-08-31T00:00:00"/>
    <n v="550000"/>
    <n v="183315"/>
  </r>
  <r>
    <n v="500737"/>
    <n v="107525"/>
    <x v="0"/>
    <s v="EXECUTIVE DIRECTOR, MBD"/>
    <s v="Exec Dir, CFREF-ED"/>
    <s v="Campus"/>
    <d v="2015-09-01T00:00:00"/>
    <d v="2022-03-31T00:00:00"/>
    <n v="60000"/>
    <n v="19998"/>
  </r>
  <r>
    <n v="500737"/>
    <n v="107525"/>
    <x v="0"/>
    <s v="EXECUTIVE DIRECTOR, MBD"/>
    <s v="Exec Dir, CFREF-ED"/>
    <s v="Campus"/>
    <d v="2015-09-01T00:00:00"/>
    <d v="2023-08-31T00:00:00"/>
    <n v="235000"/>
    <n v="78325.5"/>
  </r>
  <r>
    <n v="500737"/>
    <n v="107525"/>
    <x v="0"/>
    <s v="EXECUTIVE DIRECTOR, MBD"/>
    <s v="Exec Director, CFREF-ED"/>
    <s v="Campus"/>
    <d v="2015-09-01T00:00:00"/>
    <d v="2023-08-31T00:00:00"/>
    <n v="-148302"/>
    <n v="-49425.06"/>
  </r>
  <r>
    <n v="509666"/>
    <n v="209438"/>
    <x v="1"/>
    <s v="CHOU, LEO"/>
    <s v="CHOU, L MbDNI-2020-01"/>
    <s v="Campus"/>
    <d v="2020-08-01T00:00:00"/>
    <d v="2022-07-31T00:00:00"/>
    <n v="46000"/>
    <n v="15331.8"/>
  </r>
  <r>
    <n v="513711"/>
    <n v="213422"/>
    <x v="2"/>
    <s v="BUECHLER, MATTHEW"/>
    <s v="Buechler, M CFREF-2021"/>
    <s v="Campus"/>
    <d v="2021-08-01T00:00:00"/>
    <d v="2023-08-30T00:00:00"/>
    <n v="150000"/>
    <n v="49995"/>
  </r>
  <r>
    <n v="505362"/>
    <n v="209346"/>
    <x v="2"/>
    <s v="CROME, SARAH"/>
    <s v="Crome, S CFREF-2018"/>
    <s v="UHN"/>
    <d v="2021-06-30T00:00:00"/>
    <d v="2021-06-30T00:00:00"/>
    <n v="50000"/>
    <n v="16665"/>
  </r>
  <r>
    <n v="512034"/>
    <n v="210637"/>
    <x v="3"/>
    <s v="DIAMANDIS, E"/>
    <s v="Diamandis,E MPDF-2020-02"/>
    <s v="SHS"/>
    <d v="2021-04-12T00:00:00"/>
    <d v="2022-06-30T00:00:00"/>
    <n v="23333.33"/>
    <n v="7777"/>
  </r>
  <r>
    <n v="507776"/>
    <n v="213194"/>
    <x v="4"/>
    <s v="ABELSON, SAGI"/>
    <s v="Abelson, S MbDC2-2019-09"/>
    <s v="Campus"/>
    <d v="2019-09-01T00:00:00"/>
    <d v="2022-11-30T00:00:00"/>
    <n v="50000"/>
    <n v="16665"/>
  </r>
  <r>
    <n v="507777"/>
    <n v="206121"/>
    <x v="4"/>
    <s v="AMON, CRISTINA"/>
    <s v="Amon, C MbDC2-2019-10"/>
    <s v="Campus"/>
    <d v="2019-09-01T00:00:00"/>
    <d v="2022-11-30T00:00:00"/>
    <n v="103320"/>
    <n v="34436.559999999998"/>
  </r>
  <r>
    <n v="507639"/>
    <n v="206147"/>
    <x v="4"/>
    <s v="ANGERS, STEPHANE"/>
    <s v="Angers, S MbDC2-2019-03"/>
    <s v="Campus"/>
    <d v="2019-09-01T00:00:00"/>
    <d v="2022-11-30T00:00:00"/>
    <n v="240000"/>
    <n v="79992"/>
  </r>
  <r>
    <n v="507778"/>
    <n v="211058"/>
    <x v="4"/>
    <s v="ATTISANO LILIANA"/>
    <s v="Attisano, L MBDC2-2019-08"/>
    <s v="Campus"/>
    <d v="2019-09-01T00:00:00"/>
    <d v="2022-11-30T00:00:00"/>
    <n v="10688"/>
    <n v="3562.31"/>
  </r>
  <r>
    <n v="507778"/>
    <n v="211058"/>
    <x v="4"/>
    <s v="ATTISANO LILIANA"/>
    <s v="Attisano, L MBDC2-2019-08"/>
    <s v="Campus"/>
    <d v="2019-09-01T00:00:00"/>
    <d v="2022-11-30T00:00:00"/>
    <n v="53438"/>
    <n v="17810.89"/>
  </r>
  <r>
    <n v="508292"/>
    <n v="211058"/>
    <x v="4"/>
    <s v="ATTISANO LILIANA"/>
    <s v="Attisano, L MBDC2-2019-11"/>
    <s v="Campus"/>
    <d v="2019-09-01T00:00:00"/>
    <d v="2022-11-30T00:00:00"/>
    <n v="81250"/>
    <n v="27080.63"/>
  </r>
  <r>
    <n v="507641"/>
    <n v="203173"/>
    <x v="4"/>
    <s v="AUBERT, ISABELLE"/>
    <s v="Aubert, I MBDC2-2019-04"/>
    <s v="SRI"/>
    <d v="2019-09-01T00:00:00"/>
    <d v="2022-11-30T00:00:00"/>
    <n v="61975"/>
    <n v="20656.27"/>
  </r>
  <r>
    <n v="507776"/>
    <n v="209476"/>
    <x v="4"/>
    <s v="AWADALLA, PHILIP"/>
    <s v="Awadalla, P MbDC2-2019-09"/>
    <s v="Campus"/>
    <d v="2019-09-01T00:00:00"/>
    <d v="2022-11-30T00:00:00"/>
    <n v="70000"/>
    <n v="23331"/>
  </r>
  <r>
    <n v="507638"/>
    <n v="211963"/>
    <x v="4"/>
    <s v="BADER, GARY"/>
    <s v="Bader, G MbDC2-2019-02"/>
    <s v="Campus"/>
    <d v="2019-09-01T00:00:00"/>
    <d v="2022-11-30T00:00:00"/>
    <n v="133000"/>
    <n v="44328.9"/>
  </r>
  <r>
    <n v="507638"/>
    <n v="211963"/>
    <x v="4"/>
    <s v="BADER, GARY"/>
    <s v="Bader, G MbDC2-2019-02"/>
    <s v="Campus"/>
    <d v="2019-09-01T00:00:00"/>
    <d v="2022-11-30T00:00:00"/>
    <n v="-5880"/>
    <n v="-1959.8"/>
  </r>
  <r>
    <n v="507693"/>
    <n v="211963"/>
    <x v="4"/>
    <s v="BADER, GARY"/>
    <s v="Bader, G MBDC2-2019-07"/>
    <s v="Campus"/>
    <d v="2019-09-01T00:00:00"/>
    <d v="2022-11-30T00:00:00"/>
    <n v="33450"/>
    <n v="11148.89"/>
  </r>
  <r>
    <n v="507776"/>
    <n v="211963"/>
    <x v="4"/>
    <s v="BADER, GARY"/>
    <s v="Bader, G MbDC2-2019-09"/>
    <s v="Campus"/>
    <d v="2019-09-01T00:00:00"/>
    <d v="2022-11-30T00:00:00"/>
    <n v="50000"/>
    <n v="16665"/>
  </r>
  <r>
    <n v="507777"/>
    <n v="206470"/>
    <x v="4"/>
    <s v="BAZYLAK, A"/>
    <s v="Bazylak, A MbDC2-2019-10"/>
    <s v="Campus"/>
    <d v="2019-09-01T00:00:00"/>
    <d v="2022-11-30T00:00:00"/>
    <n v="54000"/>
    <n v="17998.2"/>
  </r>
  <r>
    <n v="507777"/>
    <n v="206470"/>
    <x v="4"/>
    <s v="BAZYLAK, A"/>
    <s v="Bazylak, A MbDC2-2019-10"/>
    <s v="Campus"/>
    <d v="2019-09-01T00:00:00"/>
    <d v="2022-11-30T00:00:00"/>
    <n v="28716.66"/>
    <n v="9571.26"/>
  </r>
  <r>
    <n v="507693"/>
    <n v="211063"/>
    <x v="4"/>
    <s v="BEAR, CHRISTINE E"/>
    <s v="Bear, C MBDC2-2019-07"/>
    <s v="HSC"/>
    <d v="2019-09-01T00:00:00"/>
    <d v="2022-11-30T00:00:00"/>
    <n v="33450"/>
    <n v="11148.89"/>
  </r>
  <r>
    <n v="507776"/>
    <n v="208628"/>
    <x v="4"/>
    <s v="BILLIA, FILIO"/>
    <s v="Billia, F MbDC2-2019-09"/>
    <s v="UHN"/>
    <d v="2019-09-01T00:00:00"/>
    <d v="2022-11-30T00:00:00"/>
    <n v="83332"/>
    <n v="27774.560000000001"/>
  </r>
  <r>
    <n v="507639"/>
    <n v="210174"/>
    <x v="4"/>
    <s v="BLENCOWE, B"/>
    <s v="Blencowe, B MbDC2-2019-03"/>
    <s v="Campus"/>
    <d v="2019-09-01T00:00:00"/>
    <d v="2022-11-30T00:00:00"/>
    <n v="71250"/>
    <n v="23747.63"/>
  </r>
  <r>
    <n v="507778"/>
    <n v="210174"/>
    <x v="4"/>
    <s v="BLENCOWE, B"/>
    <s v="Blencowe, B MBDC2-2019-08"/>
    <s v="Campus"/>
    <d v="2019-09-01T00:00:00"/>
    <d v="2022-11-30T00:00:00"/>
    <n v="8625"/>
    <n v="2874.71"/>
  </r>
  <r>
    <n v="507778"/>
    <n v="210174"/>
    <x v="4"/>
    <s v="BLENCOWE, B"/>
    <s v="Blencowe, B MBDC2-2019-08"/>
    <s v="Campus"/>
    <d v="2019-09-01T00:00:00"/>
    <d v="2022-11-30T00:00:00"/>
    <n v="43125"/>
    <n v="14373.56"/>
  </r>
  <r>
    <n v="507776"/>
    <n v="209711"/>
    <x v="4"/>
    <s v="CHAN, STEVEN"/>
    <s v="Chan, S MbDC2-2019-09"/>
    <s v="UHN"/>
    <d v="2019-09-01T00:00:00"/>
    <d v="2022-11-30T00:00:00"/>
    <n v="83334"/>
    <n v="27775.22"/>
  </r>
  <r>
    <n v="507637"/>
    <n v="207636"/>
    <x v="4"/>
    <s v="CHENG, HAI-LING"/>
    <s v="Hai-Ling, C MBDC2-2019-01"/>
    <s v="Campus"/>
    <d v="2019-09-01T00:00:00"/>
    <d v="2022-11-30T00:00:00"/>
    <n v="85000"/>
    <n v="28330.5"/>
  </r>
  <r>
    <n v="507779"/>
    <n v="209346"/>
    <x v="4"/>
    <s v="CROME, SARAH"/>
    <s v="Crome, S MbDC2-2020-11"/>
    <s v="UHN"/>
    <d v="2019-09-01T00:00:00"/>
    <d v="2022-11-30T00:00:00"/>
    <n v="80000"/>
    <n v="26664"/>
  </r>
  <r>
    <n v="507642"/>
    <n v="200150"/>
    <x v="4"/>
    <s v="CYBULSKY, MYRON"/>
    <s v="Cybulsky, M MbDC2-2019-05"/>
    <s v="UHN"/>
    <d v="2019-09-01T00:00:00"/>
    <d v="2022-11-30T00:00:00"/>
    <n v="14167"/>
    <n v="4721.8599999999997"/>
  </r>
  <r>
    <n v="507642"/>
    <n v="200150"/>
    <x v="4"/>
    <s v="CYBULSKY, MYRON"/>
    <s v="Cybulsky, M MbDC2-2019-05"/>
    <s v="UHN"/>
    <d v="2019-09-01T00:00:00"/>
    <d v="2022-11-30T00:00:00"/>
    <n v="70833"/>
    <n v="23608.639999999999"/>
  </r>
  <r>
    <n v="507777"/>
    <n v="208815"/>
    <x v="4"/>
    <s v="CYPEL, MARCELO"/>
    <s v="Cypel, M MbDC2-2019-10"/>
    <s v="UHN"/>
    <d v="2019-09-01T00:00:00"/>
    <d v="2022-11-30T00:00:00"/>
    <n v="48240"/>
    <n v="16078.39"/>
  </r>
  <r>
    <n v="507776"/>
    <n v="211377"/>
    <x v="4"/>
    <s v="DICK, JOHN"/>
    <s v="Dick, J MbDC2-2019-09"/>
    <s v="UHN"/>
    <d v="2019-09-01T00:00:00"/>
    <d v="2022-11-30T00:00:00"/>
    <n v="60000"/>
    <n v="19998"/>
  </r>
  <r>
    <n v="507637"/>
    <n v="208625"/>
    <x v="4"/>
    <s v="EPELMAN, SLAVA"/>
    <s v="Epelman, S MBDC2-2019-01"/>
    <s v="UHN"/>
    <d v="2019-09-01T00:00:00"/>
    <d v="2022-11-30T00:00:00"/>
    <n v="63750"/>
    <n v="21247.88"/>
  </r>
  <r>
    <n v="507776"/>
    <n v="208625"/>
    <x v="4"/>
    <s v="EPELMAN, SLAVA"/>
    <s v="Epelman, S MbDC2-2019-09"/>
    <s v="UHN"/>
    <d v="2019-09-01T00:00:00"/>
    <d v="2022-11-30T00:00:00"/>
    <n v="83334"/>
    <n v="27775.22"/>
  </r>
  <r>
    <n v="507641"/>
    <n v="208897"/>
    <x v="4"/>
    <s v="FAIZ, MARYAM"/>
    <s v="Faiz, M MBDC2-2019-04"/>
    <s v="Campus"/>
    <d v="2019-09-01T00:00:00"/>
    <d v="2022-11-30T00:00:00"/>
    <n v="73925"/>
    <n v="24639.200000000001"/>
  </r>
  <r>
    <n v="507642"/>
    <n v="212714"/>
    <x v="4"/>
    <s v="FISH, JASON"/>
    <s v="Fish, J MbDC2-2019-05"/>
    <s v="UHN"/>
    <d v="2019-09-01T00:00:00"/>
    <d v="2022-11-30T00:00:00"/>
    <n v="14167"/>
    <n v="4721.8599999999997"/>
  </r>
  <r>
    <n v="507642"/>
    <n v="212714"/>
    <x v="4"/>
    <s v="FISH, JASON"/>
    <s v="Fish, J MbDC2-2019-05"/>
    <s v="UHN"/>
    <d v="2019-09-01T00:00:00"/>
    <d v="2022-11-30T00:00:00"/>
    <n v="70833"/>
    <n v="23608.639999999999"/>
  </r>
  <r>
    <n v="507637"/>
    <n v="209660"/>
    <x v="4"/>
    <s v="FRIEDBERG, MARK"/>
    <s v="Friedberg, M MBDC2-2019-01"/>
    <s v="HSC"/>
    <d v="2019-09-01T00:00:00"/>
    <d v="2022-11-30T00:00:00"/>
    <n v="74800"/>
    <n v="24930.84"/>
  </r>
  <r>
    <n v="507637"/>
    <n v="209491"/>
    <x v="4"/>
    <s v="GHUGRE, NILESH"/>
    <s v="Ghugre, N MBDC2-2019-01"/>
    <s v="SRI"/>
    <d v="2019-09-01T00:00:00"/>
    <d v="2022-11-30T00:00:00"/>
    <n v="153000"/>
    <n v="50994.9"/>
  </r>
  <r>
    <n v="507637"/>
    <n v="209491"/>
    <x v="4"/>
    <s v="GHUGRE, NILESH"/>
    <s v="Ghugre, N MbDC2-2019-01"/>
    <s v="SRI"/>
    <d v="2019-09-01T00:00:00"/>
    <d v="2022-11-30T00:00:00"/>
    <n v="-153000"/>
    <n v="-50994.9"/>
  </r>
  <r>
    <n v="507638"/>
    <n v="207233"/>
    <x v="4"/>
    <s v="GILBERT, PENNEY"/>
    <s v="Gilbert, P MbDC2-2019-02"/>
    <s v="Campus"/>
    <d v="2019-09-01T00:00:00"/>
    <d v="2022-11-30T00:00:00"/>
    <n v="133250"/>
    <n v="44412.23"/>
  </r>
  <r>
    <n v="507638"/>
    <n v="207233"/>
    <x v="4"/>
    <s v="GILBERT, PENNEY"/>
    <s v="Gilbert, P MbDC2-2019-02"/>
    <s v="Campus"/>
    <d v="2019-09-01T00:00:00"/>
    <d v="2022-11-30T00:00:00"/>
    <n v="-5891"/>
    <n v="-1963.47"/>
  </r>
  <r>
    <n v="507638"/>
    <n v="207444"/>
    <x v="4"/>
    <s v="GOYAL, SIDHARTHA"/>
    <s v="Goyal, S MbDC2-2019-02"/>
    <s v="Campus"/>
    <d v="2019-09-01T00:00:00"/>
    <d v="2022-11-30T00:00:00"/>
    <n v="110000"/>
    <n v="36663"/>
  </r>
  <r>
    <n v="507638"/>
    <n v="207444"/>
    <x v="4"/>
    <s v="GOYAL, SIDHARTHA"/>
    <s v="Goyal, S MbDC2-2019-02"/>
    <s v="Campus"/>
    <d v="2019-09-01T00:00:00"/>
    <d v="2022-11-30T00:00:00"/>
    <n v="-4863"/>
    <n v="-1620.84"/>
  </r>
  <r>
    <n v="507778"/>
    <n v="207444"/>
    <x v="4"/>
    <s v="GOYAL, SIDHARTHA"/>
    <s v="Goyal, S MBDC2-2019-08"/>
    <s v="Campus"/>
    <d v="2019-09-01T00:00:00"/>
    <d v="2022-11-30T00:00:00"/>
    <n v="8333"/>
    <n v="2777.39"/>
  </r>
  <r>
    <n v="507778"/>
    <n v="207444"/>
    <x v="4"/>
    <s v="GOYAL, SIDHARTHA"/>
    <s v="Goyal, S MBDC2-2019-08"/>
    <s v="Campus"/>
    <d v="2019-09-01T00:00:00"/>
    <d v="2022-11-30T00:00:00"/>
    <n v="21667"/>
    <n v="7221.61"/>
  </r>
  <r>
    <n v="507637"/>
    <n v="206014"/>
    <x v="4"/>
    <s v="GRAMOLINI, A"/>
    <s v="Gramolini, A MBDC2-2019-01"/>
    <s v="Campus"/>
    <d v="2019-09-01T00:00:00"/>
    <d v="2022-11-30T00:00:00"/>
    <n v="40800"/>
    <n v="13598.64"/>
  </r>
  <r>
    <n v="507693"/>
    <n v="206130"/>
    <x v="4"/>
    <s v="GUENTHER, AXEL"/>
    <s v="Guenther, A MBDC2-2019-07"/>
    <s v="Campus"/>
    <d v="2019-09-01T00:00:00"/>
    <d v="2022-11-30T00:00:00"/>
    <n v="100350"/>
    <n v="33446.660000000003"/>
  </r>
  <r>
    <n v="507637"/>
    <n v="211152"/>
    <x v="4"/>
    <s v="HEXIMER, S"/>
    <s v="Heximer, S MBDC2-2019-01"/>
    <s v="Campus"/>
    <d v="2019-09-01T00:00:00"/>
    <d v="2022-11-30T00:00:00"/>
    <n v="40800"/>
    <n v="13598.64"/>
  </r>
  <r>
    <n v="507779"/>
    <n v="208630"/>
    <x v="4"/>
    <s v="HIRANO, NAOTO"/>
    <s v="Hirano, N MbDC2-2020-11"/>
    <s v="UHN"/>
    <d v="2019-09-01T00:00:00"/>
    <d v="2022-11-30T00:00:00"/>
    <n v="75000"/>
    <n v="24997.5"/>
  </r>
  <r>
    <n v="507638"/>
    <n v="211256"/>
    <x v="4"/>
    <s v="KAPLAN, DAVID"/>
    <s v="Kaplan, D MbDC2-2019-02"/>
    <s v="HSC"/>
    <d v="2019-09-01T00:00:00"/>
    <d v="2022-11-30T00:00:00"/>
    <n v="132500"/>
    <n v="44162.25"/>
  </r>
  <r>
    <n v="507637"/>
    <n v="212636"/>
    <x v="4"/>
    <s v="KELLER, GORDON"/>
    <s v="Keller, G MBDC2-2019-01"/>
    <s v="UHN"/>
    <d v="2019-09-01T00:00:00"/>
    <d v="2022-11-30T00:00:00"/>
    <n v="63750"/>
    <n v="21247.88"/>
  </r>
  <r>
    <n v="507693"/>
    <n v="212636"/>
    <x v="4"/>
    <s v="KELLER, GORDON"/>
    <s v="Keller, G MBDC2-2019-07"/>
    <s v="UHN"/>
    <d v="2019-09-01T00:00:00"/>
    <d v="2022-11-30T00:00:00"/>
    <n v="108370"/>
    <n v="36119.72"/>
  </r>
  <r>
    <n v="507639"/>
    <n v="212065"/>
    <x v="4"/>
    <s v="KELLEY, SHANA"/>
    <s v="Kelley, S MbDC2-2019-03"/>
    <s v="Campus"/>
    <d v="2019-09-01T00:00:00"/>
    <d v="2022-11-30T00:00:00"/>
    <n v="275000"/>
    <n v="91657.5"/>
  </r>
  <r>
    <n v="507777"/>
    <n v="203628"/>
    <x v="4"/>
    <s v="KESHAVJEE S"/>
    <s v="Keshavjee, S MbDC2-2019-10"/>
    <s v="UHN"/>
    <d v="2019-09-01T00:00:00"/>
    <d v="2022-11-30T00:00:00"/>
    <n v="201530"/>
    <n v="67169.95"/>
  </r>
  <r>
    <n v="507637"/>
    <n v="208728"/>
    <x v="4"/>
    <s v="LAFLAMME, MICHAEL"/>
    <s v="Laflamme, M MBDC2-2019-01"/>
    <s v="UHN"/>
    <d v="2019-09-01T00:00:00"/>
    <d v="2022-11-30T00:00:00"/>
    <n v="378100"/>
    <n v="126020.73"/>
  </r>
  <r>
    <n v="507643"/>
    <n v="208489"/>
    <x v="4"/>
    <s v="LEFEBVRE, JULIE"/>
    <s v="Lefebvre,J MbDC2-2019-06"/>
    <s v="HSC"/>
    <d v="2019-09-01T00:00:00"/>
    <d v="2022-11-30T00:00:00"/>
    <n v="12167"/>
    <n v="4055.26"/>
  </r>
  <r>
    <n v="507643"/>
    <n v="208489"/>
    <x v="4"/>
    <s v="LEFEBVRE, JULIE"/>
    <s v="Lefebvre,J MbDC2-2019-06"/>
    <s v="HSC"/>
    <d v="2019-09-01T00:00:00"/>
    <d v="2022-11-30T00:00:00"/>
    <n v="60833"/>
    <n v="20275.64"/>
  </r>
  <r>
    <n v="507638"/>
    <n v="209210"/>
    <x v="4"/>
    <s v="LI, YUN"/>
    <s v="Li, Y MbDC2-2019-02"/>
    <s v="HSC"/>
    <d v="2019-09-01T00:00:00"/>
    <d v="2022-11-30T00:00:00"/>
    <n v="60000"/>
    <n v="19998"/>
  </r>
  <r>
    <n v="507776"/>
    <n v="208808"/>
    <x v="4"/>
    <s v="LUPIEN, MATHIEU"/>
    <s v="Lupien, M MbDC2-2019-09"/>
    <s v="UHN"/>
    <d v="2019-09-01T00:00:00"/>
    <d v="2022-11-30T00:00:00"/>
    <n v="70000"/>
    <n v="23331"/>
  </r>
  <r>
    <n v="507693"/>
    <n v="209184"/>
    <x v="4"/>
    <s v="MACPARLAND, SONYA"/>
    <s v="McParland, S MBDC2-2019-07"/>
    <s v="UHN"/>
    <d v="2019-09-01T00:00:00"/>
    <d v="2022-11-30T00:00:00"/>
    <n v="108000"/>
    <n v="35996.400000000001"/>
  </r>
  <r>
    <n v="507779"/>
    <n v="208631"/>
    <x v="4"/>
    <s v="MCGAHA, TRACY LYNN"/>
    <s v="McGaha, T MbDC2-2020-11"/>
    <s v="UHN"/>
    <d v="2019-09-01T00:00:00"/>
    <d v="2022-11-30T00:00:00"/>
    <n v="50000"/>
    <n v="16665"/>
  </r>
  <r>
    <n v="507693"/>
    <n v="212893"/>
    <x v="4"/>
    <s v="MCGILVRAY, IAN"/>
    <s v="McGilvray, I MBDC2-2019-07"/>
    <s v="UHN"/>
    <d v="2019-09-01T00:00:00"/>
    <d v="2022-11-30T00:00:00"/>
    <n v="108000"/>
    <n v="35996.400000000001"/>
  </r>
  <r>
    <n v="507638"/>
    <n v="206595"/>
    <x v="4"/>
    <s v="MCGUIGAN, ALISON"/>
    <s v="Mcguigan, A MbDC2-2019-02"/>
    <s v="Campus"/>
    <d v="2019-09-01T00:00:00"/>
    <d v="2022-11-30T00:00:00"/>
    <n v="132500"/>
    <n v="44162.25"/>
  </r>
  <r>
    <n v="507638"/>
    <n v="206595"/>
    <x v="4"/>
    <s v="MCGUIGAN, ALISON"/>
    <s v="McGuigan, A MbDC2-2019-02"/>
    <s v="Campus"/>
    <d v="2019-09-01T00:00:00"/>
    <d v="2022-11-30T00:00:00"/>
    <n v="-5858"/>
    <n v="-1952.47"/>
  </r>
  <r>
    <n v="507639"/>
    <n v="206595"/>
    <x v="4"/>
    <s v="MCGUIGAN, ALISON"/>
    <s v="McGuigan, A MbDC2-2019-03"/>
    <s v="Campus"/>
    <d v="2019-09-01T00:00:00"/>
    <d v="2022-11-30T00:00:00"/>
    <n v="40000"/>
    <n v="13332"/>
  </r>
  <r>
    <n v="507638"/>
    <n v="212504"/>
    <x v="4"/>
    <s v="MILLER, FREDA"/>
    <s v="Miller, F MbDC2-2019-02"/>
    <s v="HSC"/>
    <d v="2019-09-01T00:00:00"/>
    <d v="2022-11-30T00:00:00"/>
    <n v="133500"/>
    <n v="44495.55"/>
  </r>
  <r>
    <n v="507639"/>
    <n v="206205"/>
    <x v="4"/>
    <s v="MOFFAT, JASON"/>
    <s v="Moffat, J MbDC2-2019-03"/>
    <s v="Campus"/>
    <d v="2019-09-01T00:00:00"/>
    <d v="2022-11-30T00:00:00"/>
    <n v="240000"/>
    <n v="79992"/>
  </r>
  <r>
    <n v="507638"/>
    <n v="203820"/>
    <x v="4"/>
    <s v="MORSHEAD, CINDI"/>
    <s v="Morshead, C MbDC2-2019-02"/>
    <s v="Campus"/>
    <d v="2019-09-01T00:00:00"/>
    <d v="2022-11-30T00:00:00"/>
    <n v="70000"/>
    <n v="23331"/>
  </r>
  <r>
    <n v="507638"/>
    <n v="203820"/>
    <x v="4"/>
    <s v="MORSHEAD, CINDI"/>
    <s v="Morshead, C MbDC2-2019-02"/>
    <s v="Campus"/>
    <d v="2019-09-01T00:00:00"/>
    <d v="2022-11-30T00:00:00"/>
    <n v="-3095"/>
    <n v="-1031.56"/>
  </r>
  <r>
    <n v="507641"/>
    <n v="203820"/>
    <x v="4"/>
    <s v="MORSHEAD, CINDI"/>
    <s v="Morshead, C MBDC2-2019-04"/>
    <s v="Campus"/>
    <d v="2019-09-01T00:00:00"/>
    <d v="2022-11-30T00:00:00"/>
    <n v="107369"/>
    <n v="35786.089999999997"/>
  </r>
  <r>
    <n v="507779"/>
    <n v="208609"/>
    <x v="4"/>
    <s v="NAGY, ANDRAS"/>
    <s v="Andras, N MbDC2-2020-11"/>
    <s v="SHS"/>
    <d v="2019-09-01T00:00:00"/>
    <d v="2022-11-30T00:00:00"/>
    <n v="200000"/>
    <n v="66660"/>
  </r>
  <r>
    <n v="507779"/>
    <n v="208616"/>
    <x v="4"/>
    <s v="NOSTRO, CRISTINA"/>
    <s v="Nostro, C MbDC2-2020-11"/>
    <s v="UHN"/>
    <d v="2019-09-01T00:00:00"/>
    <d v="2022-11-30T00:00:00"/>
    <n v="80000"/>
    <n v="26664"/>
  </r>
  <r>
    <n v="507693"/>
    <n v="209766"/>
    <x v="4"/>
    <s v="OGAWA, SHINICHIRO"/>
    <s v="Ogawa, S MBDC2-2019-07"/>
    <s v="UHN"/>
    <d v="2019-09-01T00:00:00"/>
    <d v="2022-11-30T00:00:00"/>
    <n v="108123"/>
    <n v="36037.4"/>
  </r>
  <r>
    <n v="507639"/>
    <n v="208379"/>
    <x v="4"/>
    <s v="PARDEE, KEITH IAN"/>
    <s v="Pardee, K MbDC2-2019-03"/>
    <s v="Campus"/>
    <d v="2019-09-01T00:00:00"/>
    <d v="2022-11-30T00:00:00"/>
    <n v="80000"/>
    <n v="26664"/>
  </r>
  <r>
    <n v="507778"/>
    <n v="212343"/>
    <x v="4"/>
    <s v="PELLETIER, LAURENCE"/>
    <s v="Pelletier, L MBDC2-2019-08"/>
    <s v="SHS"/>
    <d v="2019-09-01T00:00:00"/>
    <d v="2022-11-30T00:00:00"/>
    <n v="18875"/>
    <n v="6291.04"/>
  </r>
  <r>
    <n v="507778"/>
    <n v="212343"/>
    <x v="4"/>
    <s v="PELLETIER, LAURENCE"/>
    <s v="Pelletier, L MBDC2-2019-08"/>
    <s v="SHS"/>
    <d v="2019-09-01T00:00:00"/>
    <d v="2022-11-30T00:00:00"/>
    <n v="94375"/>
    <n v="31455.19"/>
  </r>
  <r>
    <n v="507642"/>
    <n v="208607"/>
    <x v="4"/>
    <s v="ROBBINS, CLINTON S"/>
    <s v="Robbins, C MbDC2-2019-05"/>
    <s v="UHN"/>
    <d v="2019-09-01T00:00:00"/>
    <d v="2022-11-30T00:00:00"/>
    <n v="15000"/>
    <n v="4999.5"/>
  </r>
  <r>
    <n v="507642"/>
    <n v="208607"/>
    <x v="4"/>
    <s v="ROBBINS, CLINTON S"/>
    <s v="Robbins, C MbDC2-2019-05"/>
    <s v="UHN"/>
    <d v="2019-09-01T00:00:00"/>
    <d v="2022-11-30T00:00:00"/>
    <n v="75000"/>
    <n v="24997.5"/>
  </r>
  <r>
    <n v="507641"/>
    <n v="208934"/>
    <x v="4"/>
    <s v="SCHUURMANS, CAROL"/>
    <s v="Schuurmans, C MBDC2-2019-04"/>
    <s v="SRI"/>
    <d v="2019-09-01T00:00:00"/>
    <d v="2022-11-30T00:00:00"/>
    <n v="58717"/>
    <n v="19570.38"/>
  </r>
  <r>
    <n v="507643"/>
    <n v="201921"/>
    <x v="4"/>
    <s v="SHOICHET MOLLY S"/>
    <s v="Shoichet, M MbDC2-2019-06"/>
    <s v="Campus"/>
    <d v="2019-09-01T00:00:00"/>
    <d v="2022-11-30T00:00:00"/>
    <n v="13333"/>
    <n v="4443.8900000000003"/>
  </r>
  <r>
    <n v="507643"/>
    <n v="201921"/>
    <x v="4"/>
    <s v="SHOICHET MOLLY S"/>
    <s v="Shoichet, M MBDC2-2019-07"/>
    <s v="Campus"/>
    <d v="2019-09-01T00:00:00"/>
    <d v="2022-11-30T00:00:00"/>
    <n v="66667"/>
    <n v="22220.11"/>
  </r>
  <r>
    <n v="507693"/>
    <n v="201921"/>
    <x v="4"/>
    <s v="SHOICHET MOLLY S"/>
    <s v="Shoichet, M MBDC2-2019-07"/>
    <s v="Campus"/>
    <d v="2019-09-01T00:00:00"/>
    <d v="2022-11-30T00:00:00"/>
    <n v="66900"/>
    <n v="22297.77"/>
  </r>
  <r>
    <n v="507639"/>
    <n v="212361"/>
    <x v="4"/>
    <s v="SIDHU, SACHDEV"/>
    <s v="Sidhu, S MbDC2-2019-03"/>
    <s v="Campus"/>
    <d v="2019-09-01T00:00:00"/>
    <d v="2022-11-30T00:00:00"/>
    <n v="240000"/>
    <n v="79992"/>
  </r>
  <r>
    <n v="507643"/>
    <n v="211134"/>
    <x v="4"/>
    <s v="VAN DER KOOY DEREK J"/>
    <s v="Van Der Kooy, D MbDC2-2019-06"/>
    <s v="Campus"/>
    <d v="2019-09-01T00:00:00"/>
    <d v="2022-11-30T00:00:00"/>
    <n v="13333"/>
    <n v="4443.8900000000003"/>
  </r>
  <r>
    <n v="507643"/>
    <n v="211134"/>
    <x v="4"/>
    <s v="VAN DER KOOY DEREK J"/>
    <s v="Van Der Kooy, D MbDC2-2019-06"/>
    <s v="Campus"/>
    <d v="2019-09-01T00:00:00"/>
    <d v="2022-11-30T00:00:00"/>
    <n v="66667"/>
    <n v="22220.11"/>
  </r>
  <r>
    <n v="507643"/>
    <n v="211134"/>
    <x v="4"/>
    <s v="VAN DER KOOY DEREK J"/>
    <s v="Van Der Kooy, D MbDC2-2019-06"/>
    <s v="Campus"/>
    <d v="2019-09-01T00:00:00"/>
    <d v="2022-11-30T00:00:00"/>
    <n v="-16667"/>
    <n v="-5555.11"/>
  </r>
  <r>
    <n v="507779"/>
    <n v="208750"/>
    <x v="4"/>
    <s v="VASCONCELOS, SARA"/>
    <s v="Vasconcelos, S MbDC2-2020-11"/>
    <s v="UHN"/>
    <d v="2019-09-01T00:00:00"/>
    <d v="2022-11-30T00:00:00"/>
    <n v="70000"/>
    <n v="23331"/>
  </r>
  <r>
    <n v="507777"/>
    <n v="203561"/>
    <x v="4"/>
    <s v="WADDELL, THOMAS"/>
    <s v="Waddell, T MbDC2-2019-10"/>
    <s v="UHN"/>
    <d v="2019-09-01T00:00:00"/>
    <d v="2022-11-30T00:00:00"/>
    <n v="89064"/>
    <n v="29685.03"/>
  </r>
  <r>
    <n v="507643"/>
    <n v="208810"/>
    <x v="4"/>
    <s v="WALLACE, VALERIE"/>
    <s v="Wallace,V MbDC2-2019-06"/>
    <s v="UHN"/>
    <d v="2019-09-01T00:00:00"/>
    <d v="2022-11-30T00:00:00"/>
    <n v="16667"/>
    <n v="5555.11"/>
  </r>
  <r>
    <n v="507643"/>
    <n v="208810"/>
    <x v="4"/>
    <s v="WALLACE, VALERIE"/>
    <s v="Wallace,V MbDC2-2019-06"/>
    <s v="UHN"/>
    <d v="2019-09-01T00:00:00"/>
    <d v="2022-11-30T00:00:00"/>
    <n v="83333"/>
    <n v="27774.89"/>
  </r>
  <r>
    <n v="507643"/>
    <n v="208810"/>
    <x v="4"/>
    <s v="WALLACE, VALERIE"/>
    <s v="Wallace,V MbDC2-2019-06"/>
    <s v="UHN"/>
    <d v="2019-09-01T00:00:00"/>
    <d v="2022-11-30T00:00:00"/>
    <n v="16667"/>
    <n v="5555.11"/>
  </r>
  <r>
    <n v="507641"/>
    <n v="205592"/>
    <x v="4"/>
    <s v="WOODIN, MELANIE"/>
    <s v="Woodin, M MBDC2-2019-04"/>
    <s v="Campus"/>
    <d v="2019-09-01T00:00:00"/>
    <d v="2022-11-30T00:00:00"/>
    <n v="32000"/>
    <n v="10665.6"/>
  </r>
  <r>
    <n v="507778"/>
    <n v="210089"/>
    <x v="4"/>
    <s v="WRANA, JL"/>
    <s v="Wrana, J MBDC2-2019-08"/>
    <s v="SHS"/>
    <d v="2019-09-01T00:00:00"/>
    <d v="2022-11-30T00:00:00"/>
    <n v="23792"/>
    <n v="7929.87"/>
  </r>
  <r>
    <n v="507778"/>
    <n v="210089"/>
    <x v="4"/>
    <s v="WRANA, JL"/>
    <s v="Wrana, J MBDC2-2019-08"/>
    <s v="SHS"/>
    <d v="2019-09-01T00:00:00"/>
    <d v="2022-11-30T00:00:00"/>
    <n v="138958"/>
    <n v="46314.7"/>
  </r>
  <r>
    <n v="507637"/>
    <n v="202588"/>
    <x v="4"/>
    <s v="WRIGHT GRAHAM DR"/>
    <s v="Wright, G MbDC2-2019-01"/>
    <s v="SRI"/>
    <d v="2019-09-01T00:00:00"/>
    <d v="2022-11-30T00:00:00"/>
    <n v="153000"/>
    <n v="50994.9"/>
  </r>
  <r>
    <n v="507637"/>
    <n v="202588"/>
    <x v="4"/>
    <s v="WRIGHT GRAHAM DR"/>
    <s v="Wright, G MbDC2-2019-01"/>
    <s v="SRI"/>
    <d v="2019-09-01T00:00:00"/>
    <d v="2022-11-30T00:00:00"/>
    <n v="45239.81"/>
    <n v="15078.43"/>
  </r>
  <r>
    <n v="507638"/>
    <n v="203770"/>
    <x v="4"/>
    <s v="ZANDSTRA, PETER"/>
    <s v="Zandstra, P MbDC2-2019-02"/>
    <s v="UBC"/>
    <d v="2019-09-01T00:00:00"/>
    <d v="2022-11-30T00:00:00"/>
    <n v="25587"/>
    <n v="8528.15"/>
  </r>
  <r>
    <n v="507638"/>
    <n v="203770"/>
    <x v="4"/>
    <s v="ZANDSTRA, PETER"/>
    <s v="Zandstra, P MbDC2-2019-02"/>
    <s v="UBC"/>
    <d v="2019-09-01T00:00:00"/>
    <d v="2022-06-30T00:00:00"/>
    <n v="14413"/>
    <n v="4807.8500000000004"/>
  </r>
  <r>
    <n v="507782"/>
    <n v="202616"/>
    <x v="0"/>
    <s v="SEFTON MV PROF"/>
    <s v="Sefton, M CFREF-2019"/>
    <s v="Campus"/>
    <d v="2019-09-01T00:00:00"/>
    <d v="2023-09-01T00:00:00"/>
    <n v="300000"/>
    <n v="99990"/>
  </r>
  <r>
    <n v="507779"/>
    <n v="200037"/>
    <x v="4"/>
    <s v="ZUNIGA-PFLUCKER JUAN"/>
    <s v="Zuniga, J MbDC2-2020-11"/>
    <s v="SRI"/>
    <d v="2019-09-01T00:00:00"/>
    <d v="2022-11-30T00:00:00"/>
    <n v="95000"/>
    <n v="31663.5"/>
  </r>
  <r>
    <n v="512034"/>
    <n v="210637"/>
    <x v="3"/>
    <s v="DIAMANDIS, E"/>
    <s v="Diamandis,E MPDF-2020-02"/>
    <s v="SHS"/>
    <d v="2021-04-12T00:00:00"/>
    <d v="2022-06-30T00:00:00"/>
    <n v="-13308.5"/>
    <n v="-4435.72"/>
  </r>
  <r>
    <n v="512034"/>
    <n v="210637"/>
    <x v="3"/>
    <s v="DIAMANDIS, E"/>
    <s v="Diamandis,E MPDF-2020-02"/>
    <s v="SHS"/>
    <d v="2021-04-12T00:00:00"/>
    <d v="2022-06-30T00:00:00"/>
    <n v="75000"/>
    <n v="24997.5"/>
  </r>
  <r>
    <n v="506451"/>
    <n v="207233"/>
    <x v="3"/>
    <s v="GILBERT, PENNEY"/>
    <s v="Gilbert, P MPDF-2019-04"/>
    <s v="Campus"/>
    <d v="2019-04-01T00:00:00"/>
    <d v="2022-03-31T00:00:00"/>
    <n v="50000"/>
    <n v="16665"/>
  </r>
  <r>
    <n v="513586"/>
    <n v="214504"/>
    <x v="2"/>
    <s v="GILLIS, JESSE"/>
    <s v="Gillis, J CFREF-2021"/>
    <s v="Campus"/>
    <d v="2021-11-01T00:00:00"/>
    <d v="2023-08-30T00:00:00"/>
    <n v="1000000"/>
    <n v="333300"/>
  </r>
  <r>
    <n v="509653"/>
    <n v="207233"/>
    <x v="1"/>
    <s v="GILBERT, PENNEY"/>
    <s v="Gilbert, P MbDNI-2020-02"/>
    <s v="Campus"/>
    <d v="2020-08-01T00:00:00"/>
    <d v="2022-07-31T00:00:00"/>
    <n v="10000"/>
    <n v="3333"/>
  </r>
  <r>
    <n v="509653"/>
    <n v="209194"/>
    <x v="1"/>
    <s v="LEE, HYUN"/>
    <s v="Lee, H K MbdNI-2020-02"/>
    <s v="Campus"/>
    <d v="2020-08-01T00:00:00"/>
    <d v="2022-07-31T00:00:00"/>
    <n v="90000"/>
    <n v="29997"/>
  </r>
  <r>
    <n v="509666"/>
    <n v="208489"/>
    <x v="1"/>
    <s v="LEFEBVRE, JULIE"/>
    <s v="Lefebvre, J MbDNI-2020-01"/>
    <s v="HSC"/>
    <d v="2020-08-01T00:00:00"/>
    <d v="2022-07-31T00:00:00"/>
    <n v="15000"/>
    <n v="4999.5"/>
  </r>
  <r>
    <n v="509666"/>
    <n v="208489"/>
    <x v="1"/>
    <s v="LEFEBVRE, JULIE"/>
    <s v="Lefebvre, J MbDNI-2020-01"/>
    <s v="HSC"/>
    <d v="2020-08-01T00:00:00"/>
    <d v="2022-07-31T00:00:00"/>
    <n v="24000"/>
    <n v="7999.2"/>
  </r>
  <r>
    <n v="509666"/>
    <n v="208810"/>
    <x v="1"/>
    <s v="WALLACE, VALERIE"/>
    <s v="Wallace, V MbDNI-2020-01"/>
    <s v="UHN"/>
    <d v="2020-08-01T00:00:00"/>
    <d v="2022-07-31T00:00:00"/>
    <n v="39000"/>
    <n v="12998.7"/>
  </r>
  <r>
    <n v="509666"/>
    <n v="208810"/>
    <x v="1"/>
    <s v="WALLACE, VALERIE"/>
    <s v="Wallace, V MbDNI-2020-01"/>
    <s v="UHN"/>
    <d v="2020-08-01T00:00:00"/>
    <d v="2022-07-31T00:00:00"/>
    <n v="-24000"/>
    <n v="-7999.2"/>
  </r>
  <r>
    <n v="509667"/>
    <n v="209936"/>
    <x v="1"/>
    <s v="WONG, AMY"/>
    <s v="Wong, A MbDNI-2020-03"/>
    <s v="HSC"/>
    <d v="2020-08-01T00:00:00"/>
    <d v="2022-07-31T00:00:00"/>
    <n v="99999"/>
    <n v="33329.67"/>
  </r>
  <r>
    <n v="504337"/>
    <n v="205592"/>
    <x v="1"/>
    <s v="WOODIN, MELANIE"/>
    <s v="Woodin, M MBDNI-2018-05"/>
    <s v="Campus"/>
    <d v="2018-04-01T00:00:00"/>
    <d v="2021-07-21T00:00:00"/>
    <n v="-154.09"/>
    <n v="-51.36"/>
  </r>
  <r>
    <n v="511440"/>
    <n v="209400"/>
    <x v="5"/>
    <s v="GARTON, MICHAEL J"/>
    <s v="Garton, M EMHS-2020-01"/>
    <s v="Campus"/>
    <d v="2020-09-01T00:00:00"/>
    <d v="2022-08-31T00:00:00"/>
    <n v="12500"/>
    <n v="4166.25"/>
  </r>
  <r>
    <n v="511440"/>
    <n v="208728"/>
    <x v="5"/>
    <s v="LAFLAMME, MICHAEL"/>
    <s v="Laflamme, M EMHS-2020-01"/>
    <s v="UHN"/>
    <d v="2020-09-01T00:00:00"/>
    <d v="2022-08-31T00:00:00"/>
    <n v="12500"/>
    <n v="4166.25"/>
  </r>
  <r>
    <n v="511941"/>
    <n v="213182"/>
    <x v="2"/>
    <s v="HOPE, KRISTIN"/>
    <s v="Hope, Kristin CFREF-2021"/>
    <s v="UHN"/>
    <d v="2021-01-01T00:00:00"/>
    <d v="2022-09-01T00:00:00"/>
    <n v="175000"/>
    <n v="58327.5"/>
  </r>
  <r>
    <n v="509589"/>
    <n v="212183"/>
    <x v="3"/>
    <s v="HOPYAN, SEVAN"/>
    <s v="Hopyan, S MPDF-2020-04"/>
    <s v="HSC"/>
    <d v="2020-09-01T00:00:00"/>
    <d v="2022-08-31T00:00:00"/>
    <n v="75000"/>
    <n v="24997.5"/>
  </r>
  <r>
    <n v="512338"/>
    <n v="209438"/>
    <x v="6"/>
    <s v="CHOU, LEO"/>
    <s v="CHOU, L MbDGQ-2021-02"/>
    <s v="Campus"/>
    <d v="2021-04-01T00:00:00"/>
    <d v="2022-03-31T00:00:00"/>
    <n v="67000"/>
    <n v="22331.1"/>
  </r>
  <r>
    <n v="512029"/>
    <n v="209400"/>
    <x v="6"/>
    <s v="GARTON, MICHAEL J"/>
    <s v="Garton, M MbDGQ-2021-01"/>
    <s v="Campus"/>
    <d v="2021-04-01T00:00:00"/>
    <d v="2022-03-31T00:00:00"/>
    <n v="164000"/>
    <n v="54661.2"/>
  </r>
  <r>
    <n v="512329"/>
    <n v="209400"/>
    <x v="6"/>
    <s v="GARTON, MICHAEL J"/>
    <s v="Garton,M MbDGQ-2021-03"/>
    <s v="Campus"/>
    <d v="2021-04-01T00:00:00"/>
    <d v="2022-03-31T00:00:00"/>
    <n v="45000"/>
    <n v="14998.5"/>
  </r>
  <r>
    <n v="512373"/>
    <n v="207444"/>
    <x v="6"/>
    <s v="GOYAL, SIDHARTHA"/>
    <s v="Goyal, S MbDGQ-2021-04"/>
    <s v="Campus"/>
    <d v="2021-04-01T00:00:00"/>
    <d v="2022-03-31T00:00:00"/>
    <n v="30000"/>
    <n v="9999"/>
  </r>
  <r>
    <n v="512373"/>
    <n v="212183"/>
    <x v="6"/>
    <s v="HOPYAN, SEVAN"/>
    <s v="Hopyan, S MbDGQ-2021-04"/>
    <s v="HSC"/>
    <d v="2021-04-01T00:00:00"/>
    <d v="2022-03-31T00:00:00"/>
    <n v="160000"/>
    <n v="53328"/>
  </r>
  <r>
    <n v="512329"/>
    <n v="213207"/>
    <x v="6"/>
    <s v="JACKSON, HARTLAND"/>
    <s v="Jackson,H MbDGQ-2021-03"/>
    <s v="SHS"/>
    <d v="2021-04-01T00:00:00"/>
    <d v="2022-03-31T00:00:00"/>
    <n v="130000"/>
    <n v="43329"/>
  </r>
  <r>
    <n v="511777"/>
    <n v="213181"/>
    <x v="2"/>
    <s v="JONES, COURTNEY"/>
    <s v="Jones, C CFREF-2021"/>
    <s v="UHN"/>
    <d v="2021-01-01T00:00:00"/>
    <d v="2022-09-01T00:00:00"/>
    <n v="175000"/>
    <n v="58327.5"/>
  </r>
  <r>
    <n v="509181"/>
    <n v="209792"/>
    <x v="2"/>
    <s v="KHAN, OMAR F"/>
    <s v="Khan, O CFREF-2020"/>
    <s v="Campus"/>
    <d v="2020-05-01T00:00:00"/>
    <d v="2022-09-01T00:00:00"/>
    <n v="170613"/>
    <n v="56865.31"/>
  </r>
  <r>
    <n v="509284"/>
    <n v="206595"/>
    <x v="3"/>
    <s v="MCGUIGAN, ALISON"/>
    <s v="McGuigan,A MPDF-2020-03"/>
    <s v="Campus"/>
    <d v="2020-07-01T00:00:00"/>
    <d v="2022-06-30T00:00:00"/>
    <n v="75000"/>
    <n v="24997.5"/>
  </r>
  <r>
    <n v="509285"/>
    <n v="209801"/>
    <x v="3"/>
    <s v="MUFFAT, JULIEN"/>
    <s v="Muffat, J MPDF-2020-01"/>
    <s v="HSC"/>
    <d v="2020-07-01T00:00:00"/>
    <d v="2022-06-30T00:00:00"/>
    <n v="75000"/>
    <n v="24997.5"/>
  </r>
  <r>
    <n v="506450"/>
    <n v="208620"/>
    <x v="3"/>
    <s v="SCHRAMEK, DANIEL"/>
    <s v="Schramek, D MPDF-2019-03"/>
    <s v="SHS"/>
    <d v="2019-04-01T00:00:00"/>
    <d v="2022-03-31T00:00:00"/>
    <n v="50000"/>
    <n v="16665"/>
  </r>
  <r>
    <n v="512338"/>
    <n v="212065"/>
    <x v="6"/>
    <s v="KELLEY, SHANA"/>
    <s v="KELLEY, S MbDGQ-2021-02"/>
    <s v="Campus"/>
    <d v="2021-04-01T00:00:00"/>
    <d v="2022-03-31T00:00:00"/>
    <n v="103650"/>
    <n v="34546.550000000003"/>
  </r>
  <r>
    <n v="512029"/>
    <n v="208728"/>
    <x v="6"/>
    <s v="LAFLAMME, MICHAEL"/>
    <s v="Laflamme, M MbDGQ-2021-01"/>
    <s v="UHN"/>
    <d v="2021-04-01T00:00:00"/>
    <d v="2022-03-31T00:00:00"/>
    <n v="55000"/>
    <n v="18331.5"/>
  </r>
  <r>
    <n v="512029"/>
    <n v="209210"/>
    <x v="6"/>
    <s v="LI, YUN"/>
    <s v="Li, Yun MbDGQ-2021-01"/>
    <s v="HSC"/>
    <d v="2021-04-01T00:00:00"/>
    <d v="2022-03-31T00:00:00"/>
    <n v="40000"/>
    <n v="13332"/>
  </r>
  <r>
    <n v="512329"/>
    <n v="206595"/>
    <x v="6"/>
    <s v="MCGUIGAN, ALISON"/>
    <s v="McGuigan,A MbDGQ-2021-03"/>
    <s v="Campus"/>
    <d v="2021-04-01T00:00:00"/>
    <d v="2022-03-31T00:00:00"/>
    <n v="60500"/>
    <n v="20164.650000000001"/>
  </r>
  <r>
    <n v="512029"/>
    <n v="208616"/>
    <x v="6"/>
    <s v="NOSTRO, CRISTINA"/>
    <s v="Nostro, C MbDGQ-2021-01"/>
    <s v="UHN"/>
    <d v="2021-04-01T00:00:00"/>
    <d v="2022-03-31T00:00:00"/>
    <n v="55000"/>
    <n v="18331.5"/>
  </r>
  <r>
    <n v="512029"/>
    <n v="209766"/>
    <x v="6"/>
    <s v="OGAWA, SHINICHIRO"/>
    <s v="Ogawa, S MbDGQ-2021-01"/>
    <s v="UHN"/>
    <d v="2021-04-01T00:00:00"/>
    <d v="2022-03-31T00:00:00"/>
    <n v="55000"/>
    <n v="18331.5"/>
  </r>
  <r>
    <n v="512338"/>
    <n v="208379"/>
    <x v="6"/>
    <s v="PARDEE, KEITH IAN"/>
    <s v="PARDEE, K MbDGQ-2021-02"/>
    <s v="Campus"/>
    <d v="2021-04-01T00:00:00"/>
    <d v="2022-03-31T00:00:00"/>
    <n v="215500"/>
    <n v="71826.149999999994"/>
  </r>
  <r>
    <n v="512029"/>
    <n v="209403"/>
    <x v="6"/>
    <s v="PROTZE, STEPHANIE"/>
    <s v="Protze, S MbDGQ-2021-01"/>
    <s v="UHN"/>
    <d v="2021-04-01T00:00:00"/>
    <d v="2022-03-31T00:00:00"/>
    <n v="125000"/>
    <n v="41662.5"/>
  </r>
  <r>
    <n v="512373"/>
    <n v="205547"/>
    <x v="6"/>
    <s v="SUN, YU"/>
    <s v="Sun, Y MbDGQ-2021-04"/>
    <s v="Campus"/>
    <d v="2021-04-01T00:00:00"/>
    <d v="2022-03-31T00:00:00"/>
    <n v="55000"/>
    <n v="18331.5"/>
  </r>
  <r>
    <n v="512373"/>
    <n v="207963"/>
    <x v="6"/>
    <s v="WINKLBAUER, RUDY"/>
    <s v="Winklbauer, R MbDGQ-2021-04"/>
    <s v="Campus"/>
    <d v="2021-04-01T00:00:00"/>
    <d v="2022-03-31T00:00:00"/>
    <n v="55000"/>
    <n v="18331.5"/>
  </r>
  <r>
    <n v="512329"/>
    <n v="201659"/>
    <x v="6"/>
    <s v="WOOLLEY G ANDREW"/>
    <s v="Woolley,G MbDGQ-2021-03"/>
    <s v="Campus"/>
    <d v="2021-04-01T00:00:00"/>
    <d v="2022-03-31T00:00:00"/>
    <n v="55000"/>
    <n v="18331.5"/>
  </r>
  <r>
    <n v="512445"/>
    <n v="213041"/>
    <x v="7"/>
    <s v="SANDER, BEATE"/>
    <s v="Sander, B MbDSP-2021-01"/>
    <s v="UHN"/>
    <d v="2021-05-01T00:00:00"/>
    <d v="2022-04-30T00:00:00"/>
    <n v="153810"/>
    <n v="51264.87"/>
  </r>
  <r>
    <n v="513374"/>
    <n v="206147"/>
    <x v="8"/>
    <s v="ANGERS, STEPHANE"/>
    <s v="Angers, S MbDPEFR2-2022-02"/>
    <s v="Campus"/>
    <d v="2022-01-01T00:00:00"/>
    <d v="2023-07-31T00:00:00"/>
    <n v="50050"/>
    <n v="16681.669999999998"/>
  </r>
  <r>
    <n v="512729"/>
    <n v="208728"/>
    <x v="8"/>
    <s v="CHENG, HAI-LING"/>
    <s v="Laflamme, M MbDPEFR1-2021-04"/>
    <s v="UHN"/>
    <d v="2021-08-01T00:00:00"/>
    <d v="2022-07-31T00:00:00"/>
    <n v="82500"/>
    <n v="27497.25"/>
  </r>
  <r>
    <n v="512729"/>
    <n v="207636"/>
    <x v="8"/>
    <s v="FEHLINGS MICHAEL"/>
    <s v="Cheng, HL MbDPEFR1-2021-04"/>
    <s v="Campus"/>
    <d v="2021-08-01T00:00:00"/>
    <d v="2022-07-31T00:00:00"/>
    <n v="85000"/>
    <n v="28330.5"/>
  </r>
  <r>
    <n v="512731"/>
    <n v="212636"/>
    <x v="8"/>
    <s v="KELLER, GORDON"/>
    <s v="Keller, G MbDPEFR1-2021-02"/>
    <s v="UHN"/>
    <d v="2021-08-01T00:00:00"/>
    <d v="2022-07-31T00:00:00"/>
    <n v="7500"/>
    <n v="2499.75"/>
  </r>
  <r>
    <n v="513374"/>
    <n v="212065"/>
    <x v="8"/>
    <s v="KELLEY, SHANA"/>
    <s v="Kelley, S MbDPEFR2-2022-02"/>
    <s v="Campus"/>
    <d v="2022-01-01T00:00:00"/>
    <d v="2023-07-31T00:00:00"/>
    <n v="130050"/>
    <n v="43345.67"/>
  </r>
  <r>
    <n v="512736"/>
    <n v="203628"/>
    <x v="8"/>
    <s v="KESHAVJEE S"/>
    <s v="Keshavjee, S MbDPEFR1-2021-01"/>
    <s v="UHN"/>
    <d v="2021-08-01T00:00:00"/>
    <d v="2022-07-31T00:00:00"/>
    <n v="170230"/>
    <n v="56737.66"/>
  </r>
  <r>
    <n v="512729"/>
    <n v="200739"/>
    <x v="8"/>
    <s v="LAFLAMME, MICHAEL"/>
    <s v="Fehlings, M MbDPEFR1-2021-04"/>
    <s v="UHN"/>
    <d v="2021-08-01T00:00:00"/>
    <d v="2022-07-31T00:00:00"/>
    <n v="82500"/>
    <n v="27497.25"/>
  </r>
  <r>
    <n v="512736"/>
    <n v="203442"/>
    <x v="8"/>
    <s v="LIU, MINGYAO"/>
    <s v="Liu, M MbDPEFR1-2021-01"/>
    <s v="UHN"/>
    <d v="2021-08-01T00:00:00"/>
    <d v="2022-07-31T00:00:00"/>
    <n v="72970"/>
    <n v="24320.9"/>
  </r>
  <r>
    <n v="512731"/>
    <n v="209184"/>
    <x v="8"/>
    <s v="MACPARLAND, SONYA"/>
    <s v="Macparland, S MbDPEFR1-2021-02"/>
    <s v="UHN"/>
    <d v="2021-08-01T00:00:00"/>
    <d v="2022-07-31T00:00:00"/>
    <n v="20000"/>
    <n v="6666"/>
  </r>
  <r>
    <n v="512731"/>
    <n v="212893"/>
    <x v="8"/>
    <s v="MCGILVRAY, IAN"/>
    <s v="McGilvray, I MbDPEFR1-2021-02"/>
    <s v="UHN"/>
    <d v="2021-08-01T00:00:00"/>
    <d v="2022-07-31T00:00:00"/>
    <n v="10000"/>
    <n v="3333"/>
  </r>
  <r>
    <n v="513374"/>
    <n v="206205"/>
    <x v="8"/>
    <s v="MOFFAT, JASON"/>
    <s v="Moffat, J MbDPEFR2-2022-02"/>
    <s v="Campus"/>
    <d v="2022-01-01T00:00:00"/>
    <d v="2023-07-31T00:00:00"/>
    <n v="25000"/>
    <n v="8332.5"/>
  </r>
  <r>
    <n v="512737"/>
    <n v="206247"/>
    <x v="7"/>
    <s v="GUNNING, PATRICK"/>
    <s v="Gunning, P MbDBBV-2021-01"/>
    <s v="Campus"/>
    <d v="2021-08-01T00:00:00"/>
    <d v="2022-07-31T00:00:00"/>
    <n v="25000"/>
    <n v="8332.5"/>
  </r>
  <r>
    <n v="512724"/>
    <n v="203820"/>
    <x v="8"/>
    <s v="MORSHEAD, CINDI"/>
    <s v="Morshead, C MbDPEFR1-2021-03"/>
    <s v="Campus"/>
    <d v="2021-08-01T00:00:00"/>
    <d v="2022-07-31T00:00:00"/>
    <n v="93000"/>
    <n v="30996.9"/>
  </r>
  <r>
    <n v="512731"/>
    <n v="209766"/>
    <x v="8"/>
    <s v="OGAWA, SHINICHIRO"/>
    <s v="Ogawa, S MbDPEFR1-2021-02"/>
    <s v="UHN"/>
    <d v="2021-08-01T00:00:00"/>
    <d v="2022-07-31T00:00:00"/>
    <n v="125000"/>
    <n v="41662.5"/>
  </r>
  <r>
    <n v="512724"/>
    <n v="208934"/>
    <x v="8"/>
    <s v="SCHUURMANS, CAROL"/>
    <s v="Schuurmans, C MbDPEFR1-2021-03"/>
    <s v="SRI"/>
    <d v="2021-08-01T00:00:00"/>
    <d v="2022-07-31T00:00:00"/>
    <n v="67080"/>
    <n v="22357.759999999998"/>
  </r>
  <r>
    <n v="513373"/>
    <n v="201921"/>
    <x v="8"/>
    <s v="SHOICHET MOLLY S"/>
    <s v="Shoichet, M MbDPEFR2-2022-01"/>
    <s v="Campus"/>
    <d v="2022-01-01T00:00:00"/>
    <d v="2023-07-31T00:00:00"/>
    <n v="138000"/>
    <n v="45995.4"/>
  </r>
  <r>
    <n v="513373"/>
    <n v="208810"/>
    <x v="8"/>
    <s v="WALLACE, VALERIE"/>
    <s v="Wallace, V MbDPEFR2-2022-01"/>
    <s v="UHN"/>
    <d v="2022-01-01T00:00:00"/>
    <d v="2023-07-31T00:00:00"/>
    <n v="50000"/>
    <n v="16665"/>
  </r>
  <r>
    <n v="512148"/>
    <n v="213202"/>
    <x v="2"/>
    <s v="WANG, CHAO"/>
    <s v="Wang, C CFREF-2021"/>
    <s v="SRI"/>
    <d v="2021-04-01T00:00:00"/>
    <d v="2022-09-01T00:00:00"/>
    <n v="107407"/>
    <n v="35798.75"/>
  </r>
  <r>
    <n v="513707"/>
    <n v="205703"/>
    <x v="7"/>
    <s v="ZHANG, ZHAOLEI"/>
    <s v="Zhang, Z MbDDSICat-2022-01"/>
    <s v="Campus"/>
    <d v="2022-01-01T00:00:00"/>
    <d v="2022-12-31T00:00:00"/>
    <n v="50000"/>
    <n v="16665"/>
  </r>
  <r>
    <n v="513709"/>
    <n v="207015"/>
    <x v="7"/>
    <s v="MILSTEIN, JOSHUA"/>
    <s v="Milstein, J MbDDSICat-2022-01"/>
    <s v="Campus"/>
    <d v="2022-01-01T00:00:00"/>
    <d v="2022-12-31T00:00:00"/>
    <n v="50000"/>
    <n v="16665"/>
  </r>
  <r>
    <n v="512148"/>
    <n v="213202"/>
    <x v="2"/>
    <s v="WANG, CHAO"/>
    <s v="Wang, C CFREF-2021"/>
    <s v="SRI"/>
    <d v="2021-04-01T00:00:00"/>
    <d v="2022-09-01T00:00:00"/>
    <n v="-30636"/>
    <n v="-10210.9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n v="512029"/>
    <n v="209400"/>
    <x v="0"/>
    <s v="Garton, M MbDGQ-2021-01"/>
    <s v="Campus"/>
    <s v="Garton, M MbDGQ-2021-01"/>
    <d v="2021-04-01T00:00:00"/>
    <d v="2023-03-31T00:00:00"/>
    <n v="181000"/>
    <n v="60327.299999999996"/>
  </r>
  <r>
    <n v="512029"/>
    <n v="209403"/>
    <x v="0"/>
    <s v="Protze, S MbDGQ-2021-01"/>
    <s v="UHN"/>
    <m/>
    <d v="2021-04-01T00:00:00"/>
    <d v="2023-03-31T00:00:00"/>
    <n v="100000"/>
    <n v="33330"/>
  </r>
  <r>
    <n v="512029"/>
    <n v="209766"/>
    <x v="0"/>
    <s v="Ogawa, S MbDGQ-2021-01"/>
    <s v="UHN"/>
    <m/>
    <d v="2021-04-01T00:00:00"/>
    <d v="2023-03-31T00:00:00"/>
    <n v="60000"/>
    <n v="19998"/>
  </r>
  <r>
    <n v="512029"/>
    <n v="209210"/>
    <x v="0"/>
    <s v="Li, Y MbDGQ-2021-01"/>
    <s v="HSC"/>
    <m/>
    <d v="2021-04-01T00:00:00"/>
    <d v="2023-03-31T00:00:00"/>
    <n v="45000"/>
    <n v="14998.5"/>
  </r>
  <r>
    <n v="512029"/>
    <n v="208616"/>
    <x v="0"/>
    <s v="Nostro, C MbDGQ-2021-01"/>
    <s v="UHN"/>
    <m/>
    <d v="2021-04-01T00:00:00"/>
    <d v="2023-03-31T00:00:00"/>
    <n v="60000"/>
    <n v="19998"/>
  </r>
  <r>
    <n v="512029"/>
    <n v="208728"/>
    <x v="0"/>
    <s v="Laflamme, M MbDGQ-2021-01"/>
    <s v="UHN"/>
    <m/>
    <d v="2021-04-01T00:00:00"/>
    <d v="2023-03-31T00:00:00"/>
    <n v="60000"/>
    <n v="19998"/>
  </r>
  <r>
    <n v="512329"/>
    <n v="206595"/>
    <x v="0"/>
    <s v="McGuigan, A MbDGQ-2021-03"/>
    <s v="Campus"/>
    <m/>
    <d v="2021-04-01T00:00:00"/>
    <d v="2023-03-31T00:00:00"/>
    <n v="74500"/>
    <n v="24830.85"/>
  </r>
  <r>
    <n v="512329"/>
    <n v="201659"/>
    <x v="0"/>
    <s v="Woolley, A MbDGQ-2021-03"/>
    <s v="Campus"/>
    <m/>
    <d v="2021-04-01T00:00:00"/>
    <d v="2023-03-31T00:00:00"/>
    <n v="55000"/>
    <n v="18331.5"/>
  </r>
  <r>
    <n v="512329"/>
    <n v="213207"/>
    <x v="0"/>
    <s v="Jackson, H MbDGQ-2021-03"/>
    <s v="SHS"/>
    <m/>
    <d v="2021-04-01T00:00:00"/>
    <d v="2023-03-31T00:00:00"/>
    <n v="118000"/>
    <n v="39329.4"/>
  </r>
  <r>
    <n v="512329"/>
    <n v="209400"/>
    <x v="0"/>
    <s v="Garton, M MbDGQ-2021-03"/>
    <s v="Campus"/>
    <m/>
    <d v="2021-04-01T00:00:00"/>
    <d v="2023-03-31T00:00:00"/>
    <n v="42000"/>
    <n v="13998.599999999999"/>
  </r>
  <r>
    <n v="512329"/>
    <n v="211963"/>
    <x v="0"/>
    <s v="Bader, G MbDGQ-2021-03"/>
    <s v="Campus"/>
    <m/>
    <d v="2021-04-01T00:00:00"/>
    <d v="2023-03-31T00:00:00"/>
    <n v="20000"/>
    <n v="6666"/>
  </r>
  <r>
    <n v="512338"/>
    <n v="209438"/>
    <x v="0"/>
    <s v="Chou, L MbDGQ-2021-02"/>
    <s v="Campus"/>
    <s v="CHOU, L MbDGQ-2021-02"/>
    <d v="2021-04-01T00:00:00"/>
    <d v="2023-03-31T00:00:00"/>
    <n v="63000"/>
    <n v="20997.899999999998"/>
  </r>
  <r>
    <n v="512338"/>
    <n v="212065"/>
    <x v="0"/>
    <s v="Kelley, S MbDGQ-2021-02"/>
    <s v="Campus"/>
    <s v="KELLEY, S MbDGQ-2021-02"/>
    <d v="2021-04-01T00:00:00"/>
    <d v="2023-03-31T00:00:00"/>
    <n v="96350"/>
    <n v="32113.454999999998"/>
  </r>
  <r>
    <n v="512338"/>
    <n v="208379"/>
    <x v="0"/>
    <s v="Pardee, K MbDGQ-2021-02"/>
    <s v="Campus"/>
    <s v="PARDEE, K MbDGQ-2021-02"/>
    <d v="2021-04-01T00:00:00"/>
    <d v="2023-03-31T00:00:00"/>
    <n v="254500"/>
    <n v="84824.849999999991"/>
  </r>
  <r>
    <n v="512373"/>
    <n v="212183"/>
    <x v="0"/>
    <s v="Hopyan, S MbDGQ-2021-04"/>
    <s v="HSC"/>
    <s v="Hopyan, S MbDGQ-2021-04"/>
    <d v="2021-04-01T00:00:00"/>
    <d v="2023-03-31T00:00:00"/>
    <n v="160000"/>
    <n v="53328"/>
  </r>
  <r>
    <n v="512373"/>
    <n v="205547"/>
    <x v="0"/>
    <s v="Yu, S MbDGQ-2021-04"/>
    <s v="Campus"/>
    <m/>
    <d v="2021-04-01T00:00:00"/>
    <d v="2023-03-31T00:00:00"/>
    <n v="55000"/>
    <n v="18331.5"/>
  </r>
  <r>
    <n v="512373"/>
    <n v="207444"/>
    <x v="0"/>
    <s v="Goyal, S MbDGQ-2021-04"/>
    <s v="Campus"/>
    <m/>
    <d v="2021-04-01T00:00:00"/>
    <d v="2023-03-31T00:00:00"/>
    <n v="30000"/>
    <n v="9999"/>
  </r>
  <r>
    <n v="512373"/>
    <n v="207963"/>
    <x v="0"/>
    <s v="Winklbauer, R MbDGQ-2021-04"/>
    <s v="Campus"/>
    <s v="Winklbauer, R MbDGQ-2021-04"/>
    <d v="2021-04-01T00:00:00"/>
    <d v="2023-03-31T00:00:00"/>
    <n v="55000"/>
    <n v="18331.5"/>
  </r>
  <r>
    <n v="499942"/>
    <n v="107525"/>
    <x v="1"/>
    <s v="Exec Director, CFREF-ED"/>
    <s v="Campus"/>
    <s v="EXEC DIRECTOR FUNDS"/>
    <d v="2015-09-01T00:00:00"/>
    <d v="2023-08-31T00:00:00"/>
    <n v="957957"/>
    <n v="319287.06809999997"/>
  </r>
  <r>
    <n v="507782"/>
    <n v="202616"/>
    <x v="1"/>
    <s v="Sefton, M CFREF-2019"/>
    <s v="Campus"/>
    <s v="Exec Director MedbD Scientific CFREF-ED"/>
    <d v="2019-09-01T00:00:00"/>
    <d v="2023-08-31T00:00:00"/>
    <n v="300000"/>
    <n v="99990"/>
  </r>
  <r>
    <n v="507782"/>
    <n v="202616"/>
    <x v="1"/>
    <s v="Sefton, M CFREF-2019"/>
    <s v="Campus"/>
    <s v="Exec Director MedbD Scientific CFREF-ED"/>
    <d v="2019-09-01T00:00:00"/>
    <d v="2023-08-31T00:00:00"/>
    <n v="-300000"/>
    <n v="-99990"/>
  </r>
  <r>
    <n v="507782"/>
    <n v="202616"/>
    <x v="1"/>
    <s v="Sefton, M CFREF-2019"/>
    <s v="Campus"/>
    <s v="Exec Director MedbD Scientific CFREF-ED"/>
    <d v="2019-09-01T00:00:00"/>
    <d v="2023-08-31T00:00:00"/>
    <n v="300000"/>
    <n v="99990"/>
  </r>
  <r>
    <n v="512724"/>
    <n v="203820"/>
    <x v="2"/>
    <s v="Morshead, C MbDPEFR1-2021-03"/>
    <s v="Campus"/>
    <s v="Morshead, C MbDPEFR1-2021-03"/>
    <d v="2021-08-01T00:00:00"/>
    <d v="2023-01-31T00:00:00"/>
    <n v="47000"/>
    <n v="15665.099999999999"/>
  </r>
  <r>
    <n v="512724"/>
    <n v="208934"/>
    <x v="2"/>
    <s v="Schuurmans, C MbDPEFR1-2021-03"/>
    <s v="UHN"/>
    <s v="Schuurmans, C MbDPEFR1-2021-03"/>
    <d v="2021-08-01T00:00:00"/>
    <d v="2023-01-31T00:00:00"/>
    <n v="42920"/>
    <n v="14305.235999999999"/>
  </r>
  <r>
    <n v="512731"/>
    <n v="212636"/>
    <x v="2"/>
    <s v="Keller, G MbDPEFR1-2021-02"/>
    <s v="UHN"/>
    <m/>
    <d v="2021-08-01T00:00:00"/>
    <d v="2023-01-31T00:00:00"/>
    <n v="2500"/>
    <n v="833.25"/>
  </r>
  <r>
    <n v="512731"/>
    <n v="209184"/>
    <x v="2"/>
    <s v="MacParland, S MbDPEFR1-2021-02"/>
    <s v="UHN"/>
    <m/>
    <d v="2021-08-01T00:00:00"/>
    <d v="2023-01-31T00:00:00"/>
    <n v="20000"/>
    <n v="6666"/>
  </r>
  <r>
    <n v="512731"/>
    <n v="209766"/>
    <x v="2"/>
    <s v="Ogawa, S MbDPEFR1-2021-02"/>
    <s v="UHN"/>
    <m/>
    <d v="2021-08-01T00:00:00"/>
    <d v="2023-01-31T00:00:00"/>
    <n v="65000"/>
    <n v="21664.5"/>
  </r>
  <r>
    <n v="513373"/>
    <n v="201921"/>
    <x v="2"/>
    <s v="Shoichet, M MBDPEFR2-2022-01"/>
    <s v="Campus"/>
    <m/>
    <d v="2022-01-01T00:00:00"/>
    <s v="31/7/2023"/>
    <n v="62000"/>
    <n v="20664.599999999999"/>
  </r>
  <r>
    <n v="513374"/>
    <n v="212065"/>
    <x v="2"/>
    <s v="Kelley, S MBDPEFR2-2022-02"/>
    <s v="Campus"/>
    <m/>
    <d v="2022-01-01T00:00:00"/>
    <s v="31/7/2023"/>
    <n v="44500"/>
    <n v="14831.849999999999"/>
  </r>
  <r>
    <n v="514509"/>
    <n v="200037"/>
    <x v="2"/>
    <s v="Zúñiga-Pflücker, J MbDPEFR3-2022-02"/>
    <s v="SRI"/>
    <m/>
    <d v="2022-07-01T00:00:00"/>
    <d v="2023-06-30T00:00:00"/>
    <n v="100000"/>
    <n v="33330"/>
  </r>
  <r>
    <n v="514509"/>
    <n v="209346"/>
    <x v="2"/>
    <s v="Crome, S MbDPEFR3-2022-02"/>
    <s v="UHN"/>
    <m/>
    <d v="2022-07-01T00:00:00"/>
    <d v="2023-06-30T00:00:00"/>
    <n v="150000"/>
    <n v="49995"/>
  </r>
  <r>
    <n v="514602"/>
    <n v="209792"/>
    <x v="2"/>
    <s v="Khan, O MbDPEFR3-2022-03"/>
    <s v="Campus"/>
    <m/>
    <d v="2022-07-01T00:00:00"/>
    <d v="2023-06-30T00:00:00"/>
    <n v="336669"/>
    <n v="112211.77769999999"/>
  </r>
  <r>
    <n v="514744"/>
    <n v="208628"/>
    <x v="2"/>
    <s v="Billia, P MbDPEFR3-2022-01"/>
    <s v="UHN"/>
    <m/>
    <d v="2022-07-01T00:00:00"/>
    <d v="2023-06-30T00:00:00"/>
    <n v="25119"/>
    <n v="8372.1626999999989"/>
  </r>
  <r>
    <n v="514744"/>
    <n v="213194"/>
    <x v="2"/>
    <s v="Abelson, Sagi MbDPEFR3-2022-01"/>
    <s v="Campus"/>
    <m/>
    <d v="2022-07-01T00:00:00"/>
    <d v="2023-06-30T00:00:00"/>
    <n v="222210"/>
    <n v="74062.592999999993"/>
  </r>
  <r>
    <n v="514746"/>
    <n v="208379"/>
    <x v="2"/>
    <s v="Pardee, K MBDPEFR3-2022-04"/>
    <s v="Campus"/>
    <m/>
    <d v="2022-07-01T00:00:00"/>
    <d v="2023-06-30T00:00:00"/>
    <n v="231500"/>
    <n v="77158.95"/>
  </r>
  <r>
    <n v="512445"/>
    <n v="213041"/>
    <x v="3"/>
    <s v="Sander, B MbDSP-2021-01"/>
    <s v="UHN"/>
    <s v="Sander, B MbDSP-2021-01"/>
    <d v="2021-05-01T00:00:00"/>
    <d v="2023-04-30T00:00:00"/>
    <n v="108810"/>
    <n v="36266.373"/>
  </r>
  <r>
    <n v="511799"/>
    <n v="211377"/>
    <x v="3"/>
    <s v="Dick, J MbDSP-2020-01"/>
    <s v="UHN"/>
    <s v="Dick, J MbDSP-2020-01"/>
    <d v="2020-07-01T00:00:00"/>
    <d v="2023-06-30T00:00:00"/>
    <n v="150000"/>
    <n v="49995"/>
  </r>
  <r>
    <n v="513935"/>
    <n v="209438"/>
    <x v="3"/>
    <s v="Chou, L MBDRASI-2022-06"/>
    <s v="Campus"/>
    <m/>
    <d v="2022-05-01T00:00:00"/>
    <d v="2022-08-31T00:00:00"/>
    <n v="10000"/>
    <n v="3333"/>
  </r>
  <r>
    <n v="514064"/>
    <n v="201921"/>
    <x v="3"/>
    <s v="Shoichet, M MBDRASI-2022-03"/>
    <s v="Campus"/>
    <m/>
    <d v="2022-05-01T00:00:00"/>
    <d v="2022-08-31T00:00:00"/>
    <n v="10000"/>
    <n v="3333"/>
  </r>
  <r>
    <n v="514143"/>
    <n v="209792"/>
    <x v="3"/>
    <s v="Khan, O MBDRASI-2022-01"/>
    <s v="Campus"/>
    <m/>
    <d v="2022-05-01T00:00:00"/>
    <d v="2022-08-31T00:00:00"/>
    <n v="10000"/>
    <n v="3333"/>
  </r>
  <r>
    <n v="514151"/>
    <n v="202616"/>
    <x v="3"/>
    <s v="Sefton, M MBDRASI-2022-09"/>
    <s v="Campus"/>
    <m/>
    <d v="2022-05-01T00:00:00"/>
    <d v="2022-08-31T00:00:00"/>
    <n v="10000"/>
    <n v="3333"/>
  </r>
  <r>
    <n v="514155"/>
    <n v="208489"/>
    <x v="3"/>
    <s v="Lefebvre, J MBDRASI-2022-07"/>
    <s v="HSC"/>
    <m/>
    <d v="2022-05-01T00:00:00"/>
    <d v="2022-08-31T00:00:00"/>
    <n v="10000"/>
    <n v="3333"/>
  </r>
  <r>
    <n v="514291"/>
    <n v="209660"/>
    <x v="3"/>
    <s v="Friedberg, M MBDRASI-2022-08"/>
    <s v="HSC"/>
    <m/>
    <d v="2022-05-01T00:00:00"/>
    <d v="2022-08-31T00:00:00"/>
    <n v="10000"/>
    <n v="3333"/>
  </r>
  <r>
    <n v="514291"/>
    <n v="209660"/>
    <x v="3"/>
    <s v="Friedberg, M MBDRASI-2022-08"/>
    <s v="HSC"/>
    <m/>
    <d v="2022-05-01T00:00:00"/>
    <d v="2022-08-31T00:00:00"/>
    <n v="-10000"/>
    <n v="-3333"/>
  </r>
  <r>
    <n v="514357"/>
    <n v="209346"/>
    <x v="3"/>
    <s v="Crome, S MBDRASI-2022-04"/>
    <s v="Campus"/>
    <m/>
    <d v="2022-05-01T00:00:00"/>
    <d v="2022-08-31T00:00:00"/>
    <n v="10000"/>
    <n v="3333"/>
  </r>
  <r>
    <n v="514461"/>
    <n v="208728"/>
    <x v="3"/>
    <s v="Laflamme, M MBDRASI-2022-02"/>
    <s v="UHN"/>
    <m/>
    <d v="2022-05-01T00:00:00"/>
    <d v="2022-08-31T00:00:00"/>
    <n v="10000"/>
    <n v="3333"/>
  </r>
  <r>
    <n v="514601"/>
    <n v="213061"/>
    <x v="3"/>
    <s v="Ramalho-Santos, M MBDRASI-2022-05"/>
    <s v="SHS"/>
    <m/>
    <d v="2022-05-01T00:00:00"/>
    <d v="2022-08-31T00:00:00"/>
    <n v="10000"/>
    <n v="3333"/>
  </r>
  <r>
    <n v="515106"/>
    <n v="213120"/>
    <x v="3"/>
    <s v="O'Brien, C MbDBBV-2022-01"/>
    <s v="UHN"/>
    <m/>
    <d v="2022-07-01T00:00:00"/>
    <s v="30/06/2023"/>
    <n v="25000"/>
    <n v="8332.5"/>
  </r>
  <r>
    <n v="515499"/>
    <n v="213143"/>
    <x v="3"/>
    <s v="Bhat, M MBDCWG-2022-01"/>
    <s v="UHN"/>
    <m/>
    <d v="2022-01-12T00:00:00"/>
    <s v="28/02/2023"/>
    <n v="25000"/>
    <n v="8332.5"/>
  </r>
  <r>
    <n v="515500"/>
    <n v="208700"/>
    <x v="3"/>
    <s v="Mucsi, I MBDCWG-2022-03"/>
    <s v="UHN"/>
    <m/>
    <d v="2022-01-12T00:00:00"/>
    <s v="28/02/2023"/>
    <n v="25000"/>
    <n v="8332.5"/>
  </r>
  <r>
    <n v="515501"/>
    <n v="203820"/>
    <x v="3"/>
    <s v="Morshead, C MBDCWG-2022-02"/>
    <s v="Campus"/>
    <m/>
    <d v="2022-01-12T00:00:00"/>
    <s v="28/02/2023"/>
    <n v="25000"/>
    <n v="8332.5"/>
  </r>
  <r>
    <n v="515631"/>
    <n v="207428"/>
    <x v="3"/>
    <s v="Breznitz, S  MbDCWG-2022-06"/>
    <s v="Campus"/>
    <m/>
    <d v="2022-01-12T00:00:00"/>
    <s v="28/02/2023"/>
    <n v="25000"/>
    <n v="8332.5"/>
  </r>
  <r>
    <n v="515631"/>
    <n v="207428"/>
    <x v="3"/>
    <s v="Breznitz, S  MbDCWG-2022-06"/>
    <s v="Campus"/>
    <m/>
    <d v="2022-01-12T00:00:00"/>
    <s v="28/02/2023"/>
    <n v="-10075.32"/>
    <n v="-3358.1041559999999"/>
  </r>
  <r>
    <n v="515670"/>
    <n v="208134"/>
    <x v="3"/>
    <s v="Andreazza, A MbDCWG-2022-05"/>
    <s v="Campus"/>
    <m/>
    <d v="2022-01-12T00:00:00"/>
    <s v="28/02/2023"/>
    <n v="12500"/>
    <n v="4166.25"/>
  </r>
  <r>
    <n v="515673"/>
    <n v="209946"/>
    <x v="3"/>
    <s v="Pierro, A MbDCWG-2022-04"/>
    <s v="HSC"/>
    <m/>
    <d v="2022-01-12T00:00:00"/>
    <s v="28/02/2023"/>
    <n v="25000"/>
    <n v="8332.5"/>
  </r>
  <r>
    <n v="515776"/>
    <n v="208341"/>
    <x v="3"/>
    <s v="Dowling, J MBDCWG-2022-07"/>
    <s v="HSC"/>
    <s v="MBDCWG-2022-07"/>
    <d v="2022-01-12T00:00:00"/>
    <s v="28/02/2023"/>
    <n v="25000"/>
    <n v="8332.5"/>
  </r>
  <r>
    <n v="509181"/>
    <n v="209792"/>
    <x v="4"/>
    <s v="Khan, O CFREF-2020"/>
    <s v="Campus"/>
    <s v="Khan, O CFREF-2020"/>
    <d v="2020-05-01T00:00:00"/>
    <d v="2023-08-30T00:00:00"/>
    <n v="55714"/>
    <n v="18569.476200000001"/>
  </r>
  <r>
    <n v="511777"/>
    <n v="213181"/>
    <x v="4"/>
    <s v="Jones, C CFREF-2021"/>
    <s v="UHN"/>
    <s v="Jones, C CFREF-2021"/>
    <d v="2021-01-01T00:00:00"/>
    <d v="2022-09-01T00:00:00"/>
    <n v="25000"/>
    <n v="8332.5"/>
  </r>
  <r>
    <n v="511941"/>
    <n v="213182"/>
    <x v="4"/>
    <s v="Hope, K CFREF-2021"/>
    <s v="UHN"/>
    <s v="Hope, Kristin CFREF-2021"/>
    <d v="2021-01-01T00:00:00"/>
    <d v="2022-09-01T00:00:00"/>
    <n v="25000"/>
    <n v="8332.5"/>
  </r>
  <r>
    <n v="512148"/>
    <n v="213202"/>
    <x v="4"/>
    <s v="Wang, C CFREF-2021"/>
    <s v="SRI"/>
    <s v="Wang, C CFREF-2021"/>
    <d v="2021-01-01T00:00:00"/>
    <d v="2022-09-01T00:00:00"/>
    <n v="42593"/>
    <n v="14196.24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324039-E84D-4CF2-BE61-0F9A1D911A68}" name="PivotTable4" cacheId="500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O23:Q29" firstHeaderRow="0" firstDataRow="1" firstDataCol="1"/>
  <pivotFields count="10">
    <pivotField compact="0" outline="0" showAll="0"/>
    <pivotField compact="0" outline="0" showAll="0"/>
    <pivotField axis="axisRow" compact="0" outline="0" showAll="0">
      <items count="8">
        <item x="0"/>
        <item x="1"/>
        <item x="2"/>
        <item x="3"/>
        <item x="4"/>
        <item m="1" x="6"/>
        <item m="1" x="5"/>
        <item t="default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compact="0" outline="0" showAll="0"/>
    <pivotField dataField="1" compact="0" numFmtId="44" outline="0" showAll="0"/>
    <pivotField dataField="1" compact="0" numFmtId="44" outline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udget" fld="8" baseField="0" baseItem="0"/>
    <dataField name="Sum of OH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0A0A5F-BD6C-405F-8763-A78EA122884D}" name="PivotTable1" cacheId="500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2:C12" firstHeaderRow="1" firstDataRow="1" firstDataCol="1"/>
  <pivotFields count="10">
    <pivotField showAll="0"/>
    <pivotField showAll="0"/>
    <pivotField axis="axisRow" showAll="0">
      <items count="15">
        <item m="1" x="9"/>
        <item m="1" x="11"/>
        <item m="1" x="10"/>
        <item x="6"/>
        <item x="0"/>
        <item x="8"/>
        <item x="7"/>
        <item x="2"/>
        <item m="1" x="13"/>
        <item m="1" x="12"/>
        <item x="1"/>
        <item x="3"/>
        <item x="4"/>
        <item x="5"/>
        <item t="default"/>
      </items>
    </pivotField>
    <pivotField dataField="1" showAll="0"/>
    <pivotField showAll="0"/>
    <pivotField showAll="0"/>
    <pivotField numFmtId="14" showAll="0"/>
    <pivotField numFmtId="14" showAll="0"/>
    <pivotField numFmtId="164" showAll="0"/>
    <pivotField numFmtId="164" showAll="0"/>
  </pivotFields>
  <rowFields count="1">
    <field x="2"/>
  </rowFields>
  <rowItems count="10">
    <i>
      <x v="3"/>
    </i>
    <i>
      <x v="4"/>
    </i>
    <i>
      <x v="5"/>
    </i>
    <i>
      <x v="6"/>
    </i>
    <i>
      <x v="7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PI Full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51D365-1A61-4736-87C7-98A3564965DB}" name="PivotTable2" cacheId="500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2:J12" firstHeaderRow="0" firstDataRow="1" firstDataCol="1"/>
  <pivotFields count="10">
    <pivotField showAll="0"/>
    <pivotField showAll="0"/>
    <pivotField axis="axisRow" showAll="0">
      <items count="15">
        <item m="1" x="9"/>
        <item m="1" x="11"/>
        <item m="1" x="10"/>
        <item x="6"/>
        <item x="0"/>
        <item x="8"/>
        <item x="7"/>
        <item x="2"/>
        <item m="1" x="13"/>
        <item m="1" x="12"/>
        <item x="1"/>
        <item x="3"/>
        <item x="4"/>
        <item x="5"/>
        <item t="default"/>
      </items>
    </pivotField>
    <pivotField showAll="0"/>
    <pivotField showAll="0"/>
    <pivotField showAll="0"/>
    <pivotField numFmtId="14" showAll="0"/>
    <pivotField numFmtId="14" showAll="0"/>
    <pivotField dataField="1" numFmtId="164" showAll="0"/>
    <pivotField dataField="1" numFmtId="164" showAll="0"/>
  </pivotFields>
  <rowFields count="1">
    <field x="2"/>
  </rowFields>
  <rowItems count="10">
    <i>
      <x v="3"/>
    </i>
    <i>
      <x v="4"/>
    </i>
    <i>
      <x v="5"/>
    </i>
    <i>
      <x v="6"/>
    </i>
    <i>
      <x v="7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udget" fld="8" baseField="0" baseItem="0"/>
    <dataField name="Sum of OH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DF3D85-B2B4-42CE-A7D8-78EC61D0DD0F}" name="PivotTable1" cacheId="500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gram Name">
  <location ref="A3:B12" firstHeaderRow="1" firstDataRow="1" firstDataCol="1" rowPageCount="1" colPageCount="1"/>
  <pivotFields count="13"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axis="axisRow" showAll="0">
      <items count="9">
        <item x="6"/>
        <item x="0"/>
        <item x="1"/>
        <item x="5"/>
        <item x="3"/>
        <item x="4"/>
        <item x="2"/>
        <item x="7"/>
        <item t="default"/>
      </items>
    </pivotField>
    <pivotField dataField="1" showAll="0">
      <items count="90">
        <item x="5"/>
        <item x="80"/>
        <item x="63"/>
        <item x="31"/>
        <item x="78"/>
        <item x="69"/>
        <item x="22"/>
        <item x="49"/>
        <item x="15"/>
        <item x="36"/>
        <item x="41"/>
        <item x="87"/>
        <item x="52"/>
        <item x="88"/>
        <item x="12"/>
        <item x="43"/>
        <item x="85"/>
        <item x="4"/>
        <item x="62"/>
        <item x="3"/>
        <item x="13"/>
        <item x="32"/>
        <item x="48"/>
        <item x="0"/>
        <item x="8"/>
        <item x="33"/>
        <item x="29"/>
        <item x="23"/>
        <item x="77"/>
        <item x="53"/>
        <item x="38"/>
        <item x="44"/>
        <item x="82"/>
        <item x="35"/>
        <item x="65"/>
        <item x="58"/>
        <item x="83"/>
        <item x="68"/>
        <item x="46"/>
        <item x="75"/>
        <item x="2"/>
        <item x="86"/>
        <item x="67"/>
        <item x="16"/>
        <item x="66"/>
        <item x="84"/>
        <item x="64"/>
        <item x="27"/>
        <item x="40"/>
        <item x="55"/>
        <item x="39"/>
        <item x="76"/>
        <item x="25"/>
        <item x="73"/>
        <item x="11"/>
        <item x="45"/>
        <item x="42"/>
        <item x="70"/>
        <item x="26"/>
        <item x="74"/>
        <item x="14"/>
        <item x="30"/>
        <item x="56"/>
        <item x="79"/>
        <item x="54"/>
        <item x="21"/>
        <item x="17"/>
        <item x="18"/>
        <item x="59"/>
        <item x="72"/>
        <item x="9"/>
        <item x="28"/>
        <item x="20"/>
        <item x="61"/>
        <item x="37"/>
        <item x="51"/>
        <item x="1"/>
        <item x="24"/>
        <item x="50"/>
        <item x="34"/>
        <item x="10"/>
        <item x="57"/>
        <item x="6"/>
        <item x="60"/>
        <item x="71"/>
        <item x="47"/>
        <item x="81"/>
        <item x="19"/>
        <item x="7"/>
        <item t="default"/>
      </items>
    </pivotField>
    <pivotField showAll="0"/>
    <pivotField showAll="0"/>
    <pivotField showAll="0"/>
    <pivotField showAll="0"/>
    <pivotField numFmtId="164" showAll="0"/>
    <pivotField numFmtId="164"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3" hier="-1"/>
  </pageFields>
  <dataFields count="1">
    <dataField name="Count of PI Full Nam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469995-03CE-4E3D-AE2F-386F84695271}" name="PivotTable2" cacheId="500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gram Name">
  <location ref="D3:F12" firstHeaderRow="0" firstDataRow="1" firstDataCol="1"/>
  <pivotFields count="13">
    <pivotField showAll="0"/>
    <pivotField showAll="0"/>
    <pivotField showAll="0"/>
    <pivotField showAll="0"/>
    <pivotField showAll="0"/>
    <pivotField axis="axisRow" showAll="0">
      <items count="9">
        <item x="6"/>
        <item x="0"/>
        <item x="1"/>
        <item x="5"/>
        <item x="3"/>
        <item x="4"/>
        <item x="2"/>
        <item x="7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dataField="1" numFmtId="164"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udget" fld="11" baseField="0" baseItem="0"/>
    <dataField name="Sum of OH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0" cacheId="500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12" firstHeaderRow="1" firstDataRow="1" firstDataCol="1" rowPageCount="1" colPageCount="1"/>
  <pivotFields count="15"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axis="axisRow" showAll="0">
      <items count="7">
        <item x="4"/>
        <item x="0"/>
        <item x="5"/>
        <item x="3"/>
        <item x="2"/>
        <item x="1"/>
        <item t="default"/>
      </items>
    </pivotField>
    <pivotField showAll="0"/>
    <pivotField showAll="0"/>
    <pivotField dataField="1" showAll="0"/>
    <pivotField showAll="0"/>
    <pivotField showAll="0"/>
    <pivotField numFmtId="14" showAll="0"/>
    <pivotField numFmtId="14" showAll="0"/>
    <pivotField numFmtId="44" showAll="0"/>
    <pivotField numFmtId="44"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3" hier="-1"/>
  </pageFields>
  <dataFields count="1">
    <dataField name="Count of PI Name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1000000}" name="PivotTable11" cacheId="500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gram Name - April 2020">
  <location ref="E5:G12" firstHeaderRow="0" firstDataRow="1" firstDataCol="1"/>
  <pivotFields count="10">
    <pivotField showAll="0"/>
    <pivotField showAll="0"/>
    <pivotField axis="axisRow" showAll="0">
      <items count="7">
        <item x="4"/>
        <item x="0"/>
        <item x="5"/>
        <item x="3"/>
        <item x="2"/>
        <item x="1"/>
        <item t="default"/>
      </items>
    </pivotField>
    <pivotField showAll="0"/>
    <pivotField showAll="0"/>
    <pivotField showAll="0"/>
    <pivotField numFmtId="14" showAll="0"/>
    <pivotField numFmtId="14" showAll="0"/>
    <pivotField dataField="1" numFmtId="44" showAll="0"/>
    <pivotField dataField="1" numFmtId="44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udget" fld="8" baseField="0" baseItem="0"/>
    <dataField name="Sum of OH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3000000}" name="PivotTable14" cacheId="500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22:G30" firstHeaderRow="0" firstDataRow="1" firstDataCol="1"/>
  <pivotFields count="10">
    <pivotField showAll="0"/>
    <pivotField showAll="0"/>
    <pivotField axis="axisRow" showAll="0">
      <items count="8">
        <item x="6"/>
        <item x="0"/>
        <item x="1"/>
        <item x="5"/>
        <item x="3"/>
        <item x="4"/>
        <item x="2"/>
        <item t="default"/>
      </items>
    </pivotField>
    <pivotField showAll="0"/>
    <pivotField showAll="0"/>
    <pivotField showAll="0"/>
    <pivotField numFmtId="14" showAll="0"/>
    <pivotField numFmtId="14" showAll="0"/>
    <pivotField dataField="1" numFmtId="44" showAll="0"/>
    <pivotField dataField="1" numFmtId="44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udget" fld="8" baseField="0" baseItem="0"/>
    <dataField name="Sum of OH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2000000}" name="PivotTable13" cacheId="50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2:B30" firstHeaderRow="1" firstDataRow="1" firstDataCol="1" rowPageCount="1" colPageCount="1"/>
  <pivotFields count="13">
    <pivotField showAll="0"/>
    <pivotField showAll="0"/>
    <pivotField showAll="0" defaultSubtotal="0"/>
    <pivotField axis="axisPage" multipleItemSelectionAllowed="1" showAll="0" defaultSubtotal="0">
      <items count="2">
        <item h="1" x="1"/>
        <item x="0"/>
      </items>
    </pivotField>
    <pivotField showAll="0"/>
    <pivotField axis="axisRow" showAll="0">
      <items count="8">
        <item x="6"/>
        <item x="0"/>
        <item x="1"/>
        <item x="5"/>
        <item x="3"/>
        <item x="4"/>
        <item x="2"/>
        <item t="default"/>
      </items>
    </pivotField>
    <pivotField dataField="1" showAll="0"/>
    <pivotField showAll="0"/>
    <pivotField showAll="0"/>
    <pivotField numFmtId="14" showAll="0"/>
    <pivotField numFmtId="14" showAll="0"/>
    <pivotField numFmtId="44" showAll="0"/>
    <pivotField numFmtId="44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3" hier="-1"/>
  </pageFields>
  <dataFields count="1">
    <dataField name="Count of PI Nam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88BF00E-1DEB-4369-9897-AAF3512A6230}" name="Table10" displayName="Table10" ref="A1:J166" totalsRowCount="1">
  <autoFilter ref="A1:J165" xr:uid="{088BF00E-1DEB-4369-9897-AAF3512A6230}"/>
  <sortState xmlns:xlrd2="http://schemas.microsoft.com/office/spreadsheetml/2017/richdata2" ref="A2:J165">
    <sortCondition descending="1" ref="C1:C165"/>
  </sortState>
  <tableColumns count="10">
    <tableColumn id="1" xr3:uid="{4923B70B-26D9-40B3-982F-6687D569A009}" name="Fund #" totalsRowLabel="Total"/>
    <tableColumn id="2" xr3:uid="{8BA9ED52-DF43-457E-A651-A88064F94B88}" name="FC #"/>
    <tableColumn id="3" xr3:uid="{73038381-64EA-40FF-98FC-C71D5FB34DA9}" name="Program Name"/>
    <tableColumn id="4" xr3:uid="{D6689624-4DC9-48D0-957F-746746D1EFBC}" name="PI Full Name"/>
    <tableColumn id="5" xr3:uid="{6B0B32F8-B076-4C6D-AEB0-89956AA584D5}" name="Description"/>
    <tableColumn id="6" xr3:uid="{ED1B7C35-665B-4DDD-B8B2-11DACDB5C468}" name="Location"/>
    <tableColumn id="7" xr3:uid="{5C22839B-C9A6-4264-855F-6349D748A7BA}" name="Start Date" dataDxfId="169"/>
    <tableColumn id="11" xr3:uid="{EE7AB755-56D8-427E-87D2-B82F1EA3081B}" name="End Date" dataDxfId="168"/>
    <tableColumn id="9" xr3:uid="{00C345E7-1BB5-46EA-AA68-8AB5EE0DCB9F}" name="Budget" totalsRowFunction="sum" dataDxfId="166" totalsRowDxfId="167" dataCellStyle="Currency"/>
    <tableColumn id="10" xr3:uid="{1BF3E01D-D611-45F3-8025-2463285AAE8E}" name="OH" totalsRowFunction="sum" dataDxfId="164" totalsRowDxfId="165" dataCellStyle="Currency"/>
  </tableColumns>
  <tableStyleInfo name="TableStyleLight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" displayName="Table1" ref="A1:I161" totalsRowShown="0" headerRowDxfId="12" dataDxfId="11" headerRowBorderDxfId="9" tableBorderDxfId="10">
  <autoFilter ref="A1:I161" xr:uid="{00000000-0009-0000-0100-000001000000}">
    <filterColumn colId="4">
      <filters>
        <filter val="UofT"/>
      </filters>
    </filterColumn>
  </autoFilter>
  <sortState xmlns:xlrd2="http://schemas.microsoft.com/office/spreadsheetml/2017/richdata2" ref="A6:I115">
    <sortCondition descending="1" ref="A1:A161"/>
  </sortState>
  <tableColumns count="9">
    <tableColumn id="1" xr3:uid="{00000000-0010-0000-0500-000001000000}" name="Fund" dataDxfId="8"/>
    <tableColumn id="2" xr3:uid="{00000000-0010-0000-0500-000002000000}" name="CFC" dataDxfId="7"/>
    <tableColumn id="3" xr3:uid="{00000000-0010-0000-0500-000003000000}" name="Program Name" dataDxfId="6"/>
    <tableColumn id="4" xr3:uid="{00000000-0010-0000-0500-000004000000}" name="Sponsor Ref" dataDxfId="5"/>
    <tableColumn id="5" xr3:uid="{00000000-0010-0000-0500-000005000000}" name="Location" dataDxfId="4" dataCellStyle="Normal 2"/>
    <tableColumn id="6" xr3:uid="{00000000-0010-0000-0500-000006000000}" name="Start" dataDxfId="3"/>
    <tableColumn id="7" xr3:uid="{00000000-0010-0000-0500-000007000000}" name="End" dataDxfId="2"/>
    <tableColumn id="8" xr3:uid="{00000000-0010-0000-0500-000008000000}" name="Budget" dataDxfId="1"/>
    <tableColumn id="9" xr3:uid="{00000000-0010-0000-0500-000009000000}" name="OH" data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FF764F0-A908-4044-94A8-197BED7CFE9D}" name="Table722" displayName="Table722" ref="A1:J140" totalsRowShown="0" headerRowDxfId="163">
  <autoFilter ref="A1:J140" xr:uid="{4199C036-3579-40D4-BD87-190979B0DB3B}">
    <filterColumn colId="2">
      <filters>
        <filter val="Postdoctoral Fellowship"/>
      </filters>
    </filterColumn>
  </autoFilter>
  <sortState xmlns:xlrd2="http://schemas.microsoft.com/office/spreadsheetml/2017/richdata2" ref="A2:J140">
    <sortCondition ref="C1:C140"/>
  </sortState>
  <tableColumns count="10">
    <tableColumn id="1" xr3:uid="{9DB26545-E8AA-4587-A6BF-93D37C608261}" name="Fund Number" dataDxfId="162"/>
    <tableColumn id="2" xr3:uid="{CCC807DC-0136-4FA2-B4C1-3A5D360B3737}" name="FC Number" dataDxfId="161"/>
    <tableColumn id="13" xr3:uid="{069D834D-5312-4915-9B18-DC81819267A0}" name="Program Name" dataDxfId="160"/>
    <tableColumn id="12" xr3:uid="{15C30CA2-A17B-4CC9-B557-499EFCB30227}" name="PI Full Name" dataDxfId="159"/>
    <tableColumn id="5" xr3:uid="{8C096F42-6E58-4978-B85B-167609E26513}" name="Description" dataDxfId="158"/>
    <tableColumn id="6" xr3:uid="{C5FF7DB9-88FF-4A7A-B94C-49A4EE40D6C9}" name="Location" dataDxfId="157"/>
    <tableColumn id="7" xr3:uid="{73EACCCD-4E79-4FB5-8A82-31A3CD7D3126}" name="Start Date" dataDxfId="156"/>
    <tableColumn id="8" xr3:uid="{279D9874-FDE8-44EB-BB86-8B133624E83D}" name="End Date" dataDxfId="155"/>
    <tableColumn id="9" xr3:uid="{8069A6A2-F032-4448-BF03-0A43B31FDD54}" name="Budget" dataDxfId="154" dataCellStyle="Currency 2"/>
    <tableColumn id="10" xr3:uid="{FEC95BBE-3FE5-4F8B-8F9D-37054EDA51FD}" name="OH" dataDxfId="153" dataCellStyle="Currency 2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A5219A4-A2B4-4BE4-9DC3-5E8764E19F72}" name="Table7" displayName="Table7" ref="A1:M140" totalsRowShown="0" headerRowDxfId="151">
  <autoFilter ref="A1:M140" xr:uid="{4199C036-3579-40D4-BD87-190979B0DB3B}"/>
  <sortState xmlns:xlrd2="http://schemas.microsoft.com/office/spreadsheetml/2017/richdata2" ref="A2:M140">
    <sortCondition ref="C1:C140"/>
  </sortState>
  <tableColumns count="13">
    <tableColumn id="1" xr3:uid="{F230CB04-032C-45C2-A572-91C6DBD60BA0}" name="Fund Number" dataDxfId="150"/>
    <tableColumn id="2" xr3:uid="{708A7D62-725B-4B03-B1A8-1EE980550525}" name="FC Number" dataDxfId="149"/>
    <tableColumn id="15" xr3:uid="{7BD4E59A-405B-430A-B9BA-63FB64EECBCB}" name="Duplicate Ref?" dataDxfId="148">
      <calculatedColumnFormula>Table7[[#This Row],[Fund Number]]&amp;","&amp;Table7[[#This Row],[FC Number]]</calculatedColumnFormula>
    </tableColumn>
    <tableColumn id="14" xr3:uid="{66971FF2-4BFE-447B-93C5-71D2C752952E}" name="Duplicate-Y/N" dataDxfId="147"/>
    <tableColumn id="3" xr3:uid="{4980F18F-F35D-4B38-AE70-6049A96C9209}" name="Program- MbD" dataDxfId="146"/>
    <tableColumn id="13" xr3:uid="{716BBA85-2B16-4E2A-BAA2-4BEB16925B0C}" name="Program Name" dataDxfId="145"/>
    <tableColumn id="12" xr3:uid="{E7E4FAF9-AE30-4D61-8CF5-7BD5F3F9CD2C}" name="PI Full Name" dataDxfId="144"/>
    <tableColumn id="5" xr3:uid="{6DBF9BDC-D9C4-42B2-B8D9-1E8EDDF43478}" name="Description" dataDxfId="143"/>
    <tableColumn id="6" xr3:uid="{9C38B7DF-25EF-4EF3-B41C-E6F030749F8E}" name="Location" dataDxfId="142"/>
    <tableColumn id="7" xr3:uid="{F3BC7DFE-F8DA-4BC0-8B81-FA6344CB4A32}" name="Start Date" dataDxfId="141"/>
    <tableColumn id="8" xr3:uid="{CFE0D4B5-AE5B-4708-BFBD-F21CD06BA1E3}" name="End Date" dataDxfId="140"/>
    <tableColumn id="9" xr3:uid="{5F99A0CD-D838-4821-95F8-2A5B32DA120B}" name="Budget" dataDxfId="139" dataCellStyle="Currency 2"/>
    <tableColumn id="10" xr3:uid="{DF5038A7-C64A-4B08-A868-3ECE7EADF079}" name="OH" dataDxfId="138" dataCellStyle="Currency 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04A7D9E-DC3D-4078-9FF8-C158737A86CD}" name="Table9" displayName="Table9" ref="A1:BL383" totalsRowShown="0" tableBorderDxfId="137">
  <autoFilter ref="A1:BL383" xr:uid="{FBCDFBCF-3DF6-4839-8086-5F91610FD2D8}"/>
  <sortState xmlns:xlrd2="http://schemas.microsoft.com/office/spreadsheetml/2017/richdata2" ref="A2:BL383">
    <sortCondition ref="D1:D383"/>
  </sortState>
  <tableColumns count="64">
    <tableColumn id="1" xr3:uid="{27311F1E-ADFB-4AD3-B240-DEF49D152042}" name="Fund" dataDxfId="136"/>
    <tableColumn id="4" xr3:uid="{8DEF0544-BADA-4083-AFAD-C7879599C319}" name="PI Email" dataDxfId="135"/>
    <tableColumn id="5" xr3:uid="{163E1B35-11CF-4CBE-89C4-6DDD00EB2157}" name="FC Name" dataDxfId="134" dataCellStyle="Normal 2"/>
    <tableColumn id="6" xr3:uid="{4F46B3B1-591A-4AD8-9938-567D6FDB4386}" name="CFC" dataDxfId="133" dataCellStyle="Normal 2"/>
    <tableColumn id="2" xr3:uid="{93BD4C31-7A78-4329-BCF8-8539DE0BFB7C}" name="Last Name" dataDxfId="132" dataCellStyle="Normal 2"/>
    <tableColumn id="3" xr3:uid="{32130A9B-ABAE-484A-AFAA-6D644ABC93A4}" name="First Name" dataDxfId="131" dataCellStyle="Normal 2"/>
    <tableColumn id="7" xr3:uid="{586DB3D5-84AA-48FD-A03E-15C041512112}" name="Institution" dataDxfId="130" dataCellStyle="Normal 2"/>
    <tableColumn id="8" xr3:uid="{4915558F-933B-4EFA-AB6C-A81B700FCFAD}" name="Lead/Co" dataDxfId="129" dataCellStyle="Normal 2"/>
    <tableColumn id="9" xr3:uid="{8A58D359-2255-4887-874D-408764F5B0F4}" name="Faculty" dataDxfId="128" dataCellStyle="Normal 2"/>
    <tableColumn id="10" xr3:uid="{5DF9E6BF-E1D6-47DE-930B-4F11FE25AEF3}" name="Department" dataDxfId="127" dataCellStyle="Normal 2"/>
    <tableColumn id="11" xr3:uid="{6E486CF9-4201-4CC6-982A-7164414DE2E4}" name="Dept Contact" dataDxfId="126" dataCellStyle="Hyperlink"/>
    <tableColumn id="12" xr3:uid="{FA35DDAB-4987-40FF-BB46-321F2223F814}" name="Program" dataDxfId="125"/>
    <tableColumn id="13" xr3:uid="{269F6504-CB8D-4375-96AC-7D31ED103507}" name="Sponsor Ref No. " dataDxfId="124"/>
    <tableColumn id="14" xr3:uid="{1F245A10-95BF-40AE-A0FE-67D37ABEA3D0}" name="Grant Start Date" dataDxfId="123" dataCellStyle="Normal 2"/>
    <tableColumn id="15" xr3:uid="{00C44CDA-6DB7-4C3A-B5C2-77775D968E83}" name="Grant End Date" dataDxfId="122" dataCellStyle="Normal 2"/>
    <tableColumn id="16" xr3:uid="{67D3580E-09DB-4665-84C1-0FC5E2C264B3}" name="Fund End Date" dataDxfId="121" dataCellStyle="Normal 2"/>
    <tableColumn id="17" xr3:uid="{71E6AA9D-0E3D-40AA-9C03-8A9C8642D047}" name="Budget Released" dataDxfId="120" dataCellStyle="Heading 4"/>
    <tableColumn id="18" xr3:uid="{3AF9D89B-89C0-458E-86DA-3DF75F6B97FD}" name="Open" dataDxfId="119" dataCellStyle="Normal 2"/>
    <tableColumn id="19" xr3:uid="{006BD684-6972-4961-BD50-E62B2CA29969}" name="Salaries" dataDxfId="118" dataCellStyle="Heading 4"/>
    <tableColumn id="20" xr3:uid="{A7EA1DC2-02BC-4E3B-9A40-7F950E55CABD}" name="Equipment" dataDxfId="117" dataCellStyle="Heading 4"/>
    <tableColumn id="21" xr3:uid="{C0C33DA7-495D-4954-8C7A-51BB47C28FD0}" name="Materials &amp; Supplies" dataDxfId="116" dataCellStyle="Heading 4"/>
    <tableColumn id="22" xr3:uid="{6377AA9A-6294-44AF-A848-B19AE1699D22}" name="Travel" dataDxfId="115" dataCellStyle="Heading 4"/>
    <tableColumn id="23" xr3:uid="{706C04AF-E708-4033-A5BC-E68E842F529B}" name="Services" dataDxfId="114" dataCellStyle="Heading 4"/>
    <tableColumn id="24" xr3:uid="{24C8C1FC-1C8A-47FA-809E-CE741B0C61A1}" name="Other" dataDxfId="113" dataCellStyle="Heading 4"/>
    <tableColumn id="25" xr3:uid="{EF0548C7-7806-422A-BA39-A141C908DF8B}" name="Year1" dataDxfId="112" dataCellStyle="Normal 2"/>
    <tableColumn id="26" xr3:uid="{0FA079E7-6A04-409C-8FBD-F651BC02ED7D}" name="Check" dataDxfId="111" dataCellStyle="Normal 2"/>
    <tableColumn id="27" xr3:uid="{AE7591DD-791A-4B8F-BD95-680B6E9C5172}" name="Difference" dataDxfId="110" dataCellStyle="Normal 2"/>
    <tableColumn id="28" xr3:uid="{DA99A7B7-0278-4C94-A4E3-2A6EA73FADD8}" name="Open2" dataDxfId="109" dataCellStyle="Normal 2"/>
    <tableColumn id="29" xr3:uid="{369917E1-15B8-4686-B0AF-8EA94F84DE42}" name="Salaries3" dataDxfId="108" dataCellStyle="Heading 4"/>
    <tableColumn id="30" xr3:uid="{1E1D5BB4-1284-4117-A548-D826A431082C}" name="Equipment4" dataDxfId="107" dataCellStyle="Heading 4"/>
    <tableColumn id="31" xr3:uid="{D80D593C-5DC0-4A78-9B8A-EE41F47E67E0}" name="Materials &amp; Supplies5" dataDxfId="106" dataCellStyle="Heading 4"/>
    <tableColumn id="32" xr3:uid="{AE7C2987-C7BF-461F-8AA1-94B0A39D1FD3}" name="Travel6" dataDxfId="105" dataCellStyle="Heading 4"/>
    <tableColumn id="33" xr3:uid="{EAFD8C8A-EA14-46C6-A4E5-6BE3ECC37F29}" name="Services7" dataDxfId="104" dataCellStyle="Heading 4"/>
    <tableColumn id="34" xr3:uid="{D1E25DBA-CE1A-4B84-A9EF-0123309D7C99}" name="Other8" dataDxfId="103" dataCellStyle="Heading 4"/>
    <tableColumn id="35" xr3:uid="{2C243E02-1A1D-42C4-8963-729B3BF01B61}" name="Year2 Total" dataDxfId="102" dataCellStyle="Normal 2"/>
    <tableColumn id="36" xr3:uid="{5F731AB2-97A3-44EA-91D9-303E940526C3}" name="Check9" dataDxfId="101"/>
    <tableColumn id="37" xr3:uid="{72145F2E-4709-4F49-8A53-076C5FA35603}" name="Difference10" dataDxfId="100"/>
    <tableColumn id="38" xr3:uid="{494E3593-BB58-46F5-995B-E9A9A7D00C29}" name="Open11" dataDxfId="99"/>
    <tableColumn id="39" xr3:uid="{A04A7014-A8AE-407C-BA5D-12ED8F6B8750}" name="Salaries12" dataDxfId="98" dataCellStyle="Heading 4"/>
    <tableColumn id="40" xr3:uid="{81EE7853-B483-4C00-9DC0-BDEFD0B93A8E}" name="Equipment13" dataDxfId="97" dataCellStyle="Heading 4"/>
    <tableColumn id="41" xr3:uid="{1CAB5AE8-BE34-4CB0-9033-04251E17BC07}" name="Materials &amp; Supplies14" dataDxfId="96" dataCellStyle="Heading 4"/>
    <tableColumn id="42" xr3:uid="{2095F667-8AC0-47C2-ABD5-25A2A7ECFC59}" name="Travel15" dataDxfId="95" dataCellStyle="Heading 4"/>
    <tableColumn id="43" xr3:uid="{F0F1EA79-50B5-4635-8E39-CE1881527E71}" name="Services16" dataDxfId="94" dataCellStyle="Heading 4"/>
    <tableColumn id="44" xr3:uid="{5949B017-3C81-40A6-BCAC-D080A267F78C}" name="Other17" dataDxfId="93" dataCellStyle="Normal 2"/>
    <tableColumn id="45" xr3:uid="{6E615D75-D724-4F42-9547-1DD79DA6387B}" name="Year 3 total" dataDxfId="92" dataCellStyle="Normal 2"/>
    <tableColumn id="46" xr3:uid="{33D1681B-21AE-4400-BD37-0EFCD2C560B7}" name="Check18" dataDxfId="91"/>
    <tableColumn id="47" xr3:uid="{32EBC786-1EE9-4A88-8852-9BF06C9ADEFB}" name="Difference19" dataDxfId="90"/>
    <tableColumn id="48" xr3:uid="{8B731674-C459-4BF0-B04E-21071B33632B}" name="Open20" dataDxfId="89"/>
    <tableColumn id="49" xr3:uid="{F8DABABE-1C9F-421F-80B3-C8C25446B6CF}" name="Salaries21" dataDxfId="88" dataCellStyle="Normal 2"/>
    <tableColumn id="50" xr3:uid="{698611D7-A562-4483-9834-E428B1815BB6}" name="Equipment22" dataDxfId="87" dataCellStyle="Normal 2"/>
    <tableColumn id="51" xr3:uid="{DD3D058A-276B-4E81-8C30-6B11849AB0E8}" name="Materials &amp; Supplies23" dataDxfId="86" dataCellStyle="Normal 2"/>
    <tableColumn id="52" xr3:uid="{45ED90C2-8F75-46C9-9EE4-1CEAC2D48195}" name="Services24" dataDxfId="85" dataCellStyle="Normal 2"/>
    <tableColumn id="53" xr3:uid="{209A4A26-08E3-4885-A942-1D52371EA31B}" name="Travel25" dataDxfId="84" dataCellStyle="Normal 2"/>
    <tableColumn id="54" xr3:uid="{410A04CE-1577-4C15-A067-B186377DCC35}" name="Special:PM" dataDxfId="83" dataCellStyle="Normal 2"/>
    <tableColumn id="55" xr3:uid="{23C2B37A-E626-4E42-BB47-AE4BDE0D2A69}" name="Year 4 total" dataDxfId="82" dataCellStyle="Normal 2"/>
    <tableColumn id="56" xr3:uid="{1958B110-5717-4E7D-B6C7-BD8A5A9E659B}" name="Open26" dataDxfId="81" dataCellStyle="Normal 2"/>
    <tableColumn id="57" xr3:uid="{A4310C85-B949-420E-881A-CB1D691D9C35}" name="Year 5 total" dataDxfId="80" dataCellStyle="Normal 2"/>
    <tableColumn id="58" xr3:uid="{5FA1D585-BF3F-4BAC-BAC0-4A777E911F7B}" name="Special:TCAI" dataDxfId="79" dataCellStyle="Normal 2"/>
    <tableColumn id="59" xr3:uid="{F34EB687-8AA1-4147-816E-ACCEE0792652}" name="Year 6 total" dataDxfId="78" dataCellStyle="Normal 2"/>
    <tableColumn id="60" xr3:uid="{2F27B0F8-2772-4652-A655-A95E812F6042}" name="To be Released on Request" dataDxfId="77" dataCellStyle="Normal 2"/>
    <tableColumn id="61" xr3:uid="{44339E9A-C64F-4BFF-B424-09B09B2FC567}" name="Total Awarded" dataDxfId="76"/>
    <tableColumn id="62" xr3:uid="{2600B8F6-1DC8-4C3D-906D-7CFD7E111FAD}" name="Total Awarded vs Budget Released" dataDxfId="75"/>
    <tableColumn id="63" xr3:uid="{71D35F88-7598-462E-948A-E22111AF3ACF}" name="Notes" dataDxfId="74" dataCellStyle="Normal 2 3"/>
    <tableColumn id="64" xr3:uid="{E7FF8E84-797F-40FD-A743-E2F45858DFC6}" name="Year of Release" dataDxfId="73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1:M131" totalsRowShown="0">
  <autoFilter ref="A1:M131" xr:uid="{00000000-0009-0000-0100-000004000000}"/>
  <sortState xmlns:xlrd2="http://schemas.microsoft.com/office/spreadsheetml/2017/richdata2" ref="A2:M131">
    <sortCondition ref="C1:C131"/>
  </sortState>
  <tableColumns count="13">
    <tableColumn id="1" xr3:uid="{00000000-0010-0000-0100-000001000000}" name="Fund Number" dataDxfId="71"/>
    <tableColumn id="2" xr3:uid="{00000000-0010-0000-0100-000002000000}" name="FC Number" dataDxfId="70"/>
    <tableColumn id="15" xr3:uid="{00000000-0010-0000-0100-00000F000000}" name="Duplicate Reference" dataDxfId="69"/>
    <tableColumn id="14" xr3:uid="{00000000-0010-0000-0100-00000E000000}" name="Duplicate?" dataDxfId="68"/>
    <tableColumn id="10" xr3:uid="{00000000-0010-0000-0100-00000A000000}" name="Program- MbD" dataDxfId="67"/>
    <tableColumn id="9" xr3:uid="{00000000-0010-0000-0100-000009000000}" name="Program Name" dataDxfId="66"/>
    <tableColumn id="11" xr3:uid="{00000000-0010-0000-0100-00000B000000}" name="PI Name" dataDxfId="65"/>
    <tableColumn id="3" xr3:uid="{00000000-0010-0000-0100-000003000000}" name="Description" dataDxfId="64"/>
    <tableColumn id="4" xr3:uid="{00000000-0010-0000-0100-000004000000}" name="Location" dataDxfId="63"/>
    <tableColumn id="5" xr3:uid="{00000000-0010-0000-0100-000005000000}" name="Start Date" dataDxfId="62"/>
    <tableColumn id="6" xr3:uid="{00000000-0010-0000-0100-000006000000}" name="End Date" dataDxfId="61"/>
    <tableColumn id="7" xr3:uid="{00000000-0010-0000-0100-000007000000}" name="Budget" dataDxfId="60" dataCellStyle="Currency"/>
    <tableColumn id="8" xr3:uid="{00000000-0010-0000-0100-000008000000}" name="OH" dataDxfId="59" dataCellStyle="Currency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47" displayName="Table47" ref="A1:J131" totalsRowShown="0">
  <autoFilter ref="A1:J131" xr:uid="{00000000-0009-0000-0100-000006000000}"/>
  <tableColumns count="10">
    <tableColumn id="1" xr3:uid="{00000000-0010-0000-0000-000001000000}" name="Fund Number" dataDxfId="58"/>
    <tableColumn id="2" xr3:uid="{00000000-0010-0000-0000-000002000000}" name="FC Number" dataDxfId="57"/>
    <tableColumn id="9" xr3:uid="{00000000-0010-0000-0000-000009000000}" name="Program Name" dataDxfId="56"/>
    <tableColumn id="11" xr3:uid="{00000000-0010-0000-0000-00000B000000}" name="PI Name" dataDxfId="55"/>
    <tableColumn id="3" xr3:uid="{00000000-0010-0000-0000-000003000000}" name="Description" dataDxfId="54"/>
    <tableColumn id="4" xr3:uid="{00000000-0010-0000-0000-000004000000}" name="Location" dataDxfId="53"/>
    <tableColumn id="5" xr3:uid="{00000000-0010-0000-0000-000005000000}" name="Start Date" dataDxfId="52"/>
    <tableColumn id="6" xr3:uid="{00000000-0010-0000-0000-000006000000}" name="End Date" dataDxfId="51"/>
    <tableColumn id="7" xr3:uid="{00000000-0010-0000-0000-000007000000}" name="Budget" dataDxfId="50" dataCellStyle="Currency"/>
    <tableColumn id="8" xr3:uid="{00000000-0010-0000-0000-000008000000}" name="OH" dataDxfId="49" dataCellStyle="Currency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B11" totalsRowShown="0">
  <autoFilter ref="A1:B11" xr:uid="{00000000-0009-0000-0100-000003000000}"/>
  <sortState xmlns:xlrd2="http://schemas.microsoft.com/office/spreadsheetml/2017/richdata2" ref="A2:B11">
    <sortCondition ref="A1:A11"/>
  </sortState>
  <tableColumns count="2">
    <tableColumn id="1" xr3:uid="{00000000-0010-0000-0200-000001000000}" name="Summary"/>
    <tableColumn id="2" xr3:uid="{00000000-0010-0000-0200-000002000000}" name="Result" dataDxfId="48" dataCellStyle="Currency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29" displayName="Table29" ref="A1:J133" totalsRowShown="0" headerRowDxfId="47" dataDxfId="46" headerRowBorderDxfId="44" tableBorderDxfId="45">
  <autoFilter ref="A1:J133" xr:uid="{00000000-0009-0000-0100-000008000000}"/>
  <sortState xmlns:xlrd2="http://schemas.microsoft.com/office/spreadsheetml/2017/richdata2" ref="A2:J133">
    <sortCondition ref="A1:A133"/>
  </sortState>
  <tableColumns count="10">
    <tableColumn id="1" xr3:uid="{00000000-0010-0000-0300-000001000000}" name="Fund Number" dataDxfId="43"/>
    <tableColumn id="2" xr3:uid="{00000000-0010-0000-0300-000002000000}" name="FC Number" dataDxfId="42"/>
    <tableColumn id="9" xr3:uid="{00000000-0010-0000-0300-000009000000}" name="Program Name" dataDxfId="41"/>
    <tableColumn id="13" xr3:uid="{00000000-0010-0000-0300-00000D000000}" name="PI Name" dataDxfId="40"/>
    <tableColumn id="3" xr3:uid="{00000000-0010-0000-0300-000003000000}" name="Description" dataDxfId="39"/>
    <tableColumn id="4" xr3:uid="{00000000-0010-0000-0300-000004000000}" name="Location" dataDxfId="38"/>
    <tableColumn id="5" xr3:uid="{00000000-0010-0000-0300-000005000000}" name="Start Date" dataDxfId="37"/>
    <tableColumn id="6" xr3:uid="{00000000-0010-0000-0300-000006000000}" name="End Date" dataDxfId="36"/>
    <tableColumn id="7" xr3:uid="{00000000-0010-0000-0300-000007000000}" name="Budget" dataDxfId="35" dataCellStyle="Currency"/>
    <tableColumn id="8" xr3:uid="{00000000-0010-0000-0300-000008000000}" name="OH" dataDxfId="34" dataCellStyle="Currency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e2" displayName="Table2" ref="A1:O133" totalsRowShown="0" headerRowDxfId="31" dataDxfId="30" headerRowBorderDxfId="28" tableBorderDxfId="29">
  <autoFilter ref="A1:O133" xr:uid="{00000000-0009-0000-0100-000002000000}"/>
  <sortState xmlns:xlrd2="http://schemas.microsoft.com/office/spreadsheetml/2017/richdata2" ref="A2:O133">
    <sortCondition ref="C1:C133"/>
  </sortState>
  <tableColumns count="15">
    <tableColumn id="1" xr3:uid="{00000000-0010-0000-0400-000001000000}" name="Fund Number" dataDxfId="27"/>
    <tableColumn id="2" xr3:uid="{00000000-0010-0000-0400-000002000000}" name="FC Number" dataDxfId="26"/>
    <tableColumn id="14" xr3:uid="{00000000-0010-0000-0400-00000E000000}" name="Concatenate" dataDxfId="25"/>
    <tableColumn id="15" xr3:uid="{00000000-0010-0000-0400-00000F000000}" name="Duplicate" dataDxfId="24"/>
    <tableColumn id="10" xr3:uid="{00000000-0010-0000-0400-00000A000000}" name="Program-As per MbD Summary" dataDxfId="23"/>
    <tableColumn id="9" xr3:uid="{00000000-0010-0000-0400-000009000000}" name="Program Name" dataDxfId="22"/>
    <tableColumn id="11" xr3:uid="{00000000-0010-0000-0400-00000B000000}" name="PI First Name" dataDxfId="21"/>
    <tableColumn id="12" xr3:uid="{00000000-0010-0000-0400-00000C000000}" name="PI Last Name" dataDxfId="20"/>
    <tableColumn id="13" xr3:uid="{00000000-0010-0000-0400-00000D000000}" name="PI Name" dataDxfId="19"/>
    <tableColumn id="3" xr3:uid="{00000000-0010-0000-0400-000003000000}" name="Description" dataDxfId="18"/>
    <tableColumn id="4" xr3:uid="{00000000-0010-0000-0400-000004000000}" name="Location" dataDxfId="17"/>
    <tableColumn id="5" xr3:uid="{00000000-0010-0000-0400-000005000000}" name="Start Date" dataDxfId="16"/>
    <tableColumn id="6" xr3:uid="{00000000-0010-0000-0400-000006000000}" name="End Date" dataDxfId="15"/>
    <tableColumn id="7" xr3:uid="{00000000-0010-0000-0400-000007000000}" name="Budget" dataDxfId="14" dataCellStyle="Currency"/>
    <tableColumn id="8" xr3:uid="{00000000-0010-0000-0400-000008000000}" name="OH" dataDxfId="13" dataCellStyle="Currency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10.xml"/><Relationship Id="rId1" Type="http://schemas.openxmlformats.org/officeDocument/2006/relationships/vmlDrawing" Target="../drawings/vmlDrawing4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mailto:arlene.smith@utoronto.ca" TargetMode="External"/><Relationship Id="rId299" Type="http://schemas.openxmlformats.org/officeDocument/2006/relationships/hyperlink" Target="mailto:jason.maynes@sickkids.ca" TargetMode="External"/><Relationship Id="rId21" Type="http://schemas.openxmlformats.org/officeDocument/2006/relationships/hyperlink" Target="mailto:katrina.soh@utoronto.ca" TargetMode="External"/><Relationship Id="rId63" Type="http://schemas.openxmlformats.org/officeDocument/2006/relationships/hyperlink" Target="mailto:katrina.soh@utoronto.ca" TargetMode="External"/><Relationship Id="rId159" Type="http://schemas.openxmlformats.org/officeDocument/2006/relationships/hyperlink" Target="mailto:elisabete@mie.utoronto.ca" TargetMode="External"/><Relationship Id="rId170" Type="http://schemas.openxmlformats.org/officeDocument/2006/relationships/hyperlink" Target="mailto:b.blencowe@utoronto.ca" TargetMode="External"/><Relationship Id="rId226" Type="http://schemas.openxmlformats.org/officeDocument/2006/relationships/hyperlink" Target="mailto:katrina.soh@utoronto.ca" TargetMode="External"/><Relationship Id="rId268" Type="http://schemas.openxmlformats.org/officeDocument/2006/relationships/hyperlink" Target="mailto:b.blencowe@utoronto.ca" TargetMode="External"/><Relationship Id="rId32" Type="http://schemas.openxmlformats.org/officeDocument/2006/relationships/hyperlink" Target="mailto:katrina.soh@utoronto.ca" TargetMode="External"/><Relationship Id="rId74" Type="http://schemas.openxmlformats.org/officeDocument/2006/relationships/hyperlink" Target="mailto:aaron.wheeler@utoronto.ca" TargetMode="External"/><Relationship Id="rId128" Type="http://schemas.openxmlformats.org/officeDocument/2006/relationships/hyperlink" Target="mailto:arlene.smith@utoronto.ca" TargetMode="External"/><Relationship Id="rId5" Type="http://schemas.openxmlformats.org/officeDocument/2006/relationships/hyperlink" Target="mailto:nancy.calabrese@utoronto.ca" TargetMode="External"/><Relationship Id="rId181" Type="http://schemas.openxmlformats.org/officeDocument/2006/relationships/hyperlink" Target="mailto:Peter.Carlen@uhnresearch.ca" TargetMode="External"/><Relationship Id="rId237" Type="http://schemas.openxmlformats.org/officeDocument/2006/relationships/hyperlink" Target="mailto:julie.lefebvre@sickkids.ca" TargetMode="External"/><Relationship Id="rId279" Type="http://schemas.openxmlformats.org/officeDocument/2006/relationships/hyperlink" Target="mailto:shinichiro.ogawa@uhnresearch.ca" TargetMode="External"/><Relationship Id="rId43" Type="http://schemas.openxmlformats.org/officeDocument/2006/relationships/hyperlink" Target="mailto:lynette.anderson@utoronto.ca" TargetMode="External"/><Relationship Id="rId139" Type="http://schemas.openxmlformats.org/officeDocument/2006/relationships/hyperlink" Target="mailto:christine.kreutzer@utoronto.ca" TargetMode="External"/><Relationship Id="rId290" Type="http://schemas.openxmlformats.org/officeDocument/2006/relationships/hyperlink" Target="mailto:katrina.soh@utoronto.ca" TargetMode="External"/><Relationship Id="rId304" Type="http://schemas.openxmlformats.org/officeDocument/2006/relationships/hyperlink" Target="mailto:katrina.soh@utoronto.ca" TargetMode="External"/><Relationship Id="rId85" Type="http://schemas.openxmlformats.org/officeDocument/2006/relationships/hyperlink" Target="mailto:katrina.soh@utoronto.ca" TargetMode="External"/><Relationship Id="rId150" Type="http://schemas.openxmlformats.org/officeDocument/2006/relationships/hyperlink" Target="mailto:jessica.bailey@utoronto.ca" TargetMode="External"/><Relationship Id="rId192" Type="http://schemas.openxmlformats.org/officeDocument/2006/relationships/hyperlink" Target="mailto:mikko.taipale@utoronto.ca" TargetMode="External"/><Relationship Id="rId206" Type="http://schemas.openxmlformats.org/officeDocument/2006/relationships/hyperlink" Target="mailto:angelika.kocan@utoronto.ca" TargetMode="External"/><Relationship Id="rId248" Type="http://schemas.openxmlformats.org/officeDocument/2006/relationships/hyperlink" Target="mailto:elisabete@mie.utoronto.ca" TargetMode="External"/><Relationship Id="rId12" Type="http://schemas.openxmlformats.org/officeDocument/2006/relationships/hyperlink" Target="mailto:angela.rosa@utoronto.ca" TargetMode="External"/><Relationship Id="rId108" Type="http://schemas.openxmlformats.org/officeDocument/2006/relationships/hyperlink" Target="mailto:katrina.soh@utoronto.ca" TargetMode="External"/><Relationship Id="rId315" Type="http://schemas.openxmlformats.org/officeDocument/2006/relationships/comments" Target="../comments5.xml"/><Relationship Id="rId54" Type="http://schemas.openxmlformats.org/officeDocument/2006/relationships/hyperlink" Target="mailto:arlene.smith@utoronto.ca" TargetMode="External"/><Relationship Id="rId96" Type="http://schemas.openxmlformats.org/officeDocument/2006/relationships/hyperlink" Target="mailto:nancy.calabrese@utoronto.ca" TargetMode="External"/><Relationship Id="rId161" Type="http://schemas.openxmlformats.org/officeDocument/2006/relationships/hyperlink" Target="mailto:elisabete@mie.utoronto.ca" TargetMode="External"/><Relationship Id="rId217" Type="http://schemas.openxmlformats.org/officeDocument/2006/relationships/hyperlink" Target="mailto:katrina.soh@utoronto.ca" TargetMode="External"/><Relationship Id="rId259" Type="http://schemas.openxmlformats.org/officeDocument/2006/relationships/hyperlink" Target="mailto:gary.bader@utoronto.ca" TargetMode="External"/><Relationship Id="rId23" Type="http://schemas.openxmlformats.org/officeDocument/2006/relationships/hyperlink" Target="mailto:merle.casci@utoronto.ca" TargetMode="External"/><Relationship Id="rId119" Type="http://schemas.openxmlformats.org/officeDocument/2006/relationships/hyperlink" Target="mailto:paula.smellie@utoronto.ca;" TargetMode="External"/><Relationship Id="rId270" Type="http://schemas.openxmlformats.org/officeDocument/2006/relationships/hyperlink" Target="mailto:lynette.anderson@utoronto.ca" TargetMode="External"/><Relationship Id="rId65" Type="http://schemas.openxmlformats.org/officeDocument/2006/relationships/hyperlink" Target="mailto:katrina.soh@utoronto.ca" TargetMode="External"/><Relationship Id="rId130" Type="http://schemas.openxmlformats.org/officeDocument/2006/relationships/hyperlink" Target="mailto:katrina.soh@utoronto.ca" TargetMode="External"/><Relationship Id="rId172" Type="http://schemas.openxmlformats.org/officeDocument/2006/relationships/hyperlink" Target="mailto:keith.pardee@utoronto.ca" TargetMode="External"/><Relationship Id="rId193" Type="http://schemas.openxmlformats.org/officeDocument/2006/relationships/hyperlink" Target="mailto:roman@eecg.utoronto.ca" TargetMode="External"/><Relationship Id="rId207" Type="http://schemas.openxmlformats.org/officeDocument/2006/relationships/hyperlink" Target="mailto:b.blencowe@utoronto.ca" TargetMode="External"/><Relationship Id="rId228" Type="http://schemas.openxmlformats.org/officeDocument/2006/relationships/hyperlink" Target="mailto:aaron.wheeler@utoronto.ca" TargetMode="External"/><Relationship Id="rId249" Type="http://schemas.openxmlformats.org/officeDocument/2006/relationships/hyperlink" Target="mailto:paula.smellie@utoronto.ca;" TargetMode="External"/><Relationship Id="rId13" Type="http://schemas.openxmlformats.org/officeDocument/2006/relationships/hyperlink" Target="mailto:christine.kreutzer@utoronto.ca" TargetMode="External"/><Relationship Id="rId109" Type="http://schemas.openxmlformats.org/officeDocument/2006/relationships/hyperlink" Target="mailto:nancy.calabrese@utoronto.ca" TargetMode="External"/><Relationship Id="rId260" Type="http://schemas.openxmlformats.org/officeDocument/2006/relationships/hyperlink" Target="mailto:abazylak@mie.utoronto.ca" TargetMode="External"/><Relationship Id="rId281" Type="http://schemas.openxmlformats.org/officeDocument/2006/relationships/hyperlink" Target="mailto:dr.khan@utoronto.ca" TargetMode="External"/><Relationship Id="rId34" Type="http://schemas.openxmlformats.org/officeDocument/2006/relationships/hyperlink" Target="mailto:katrina.soh@utoronto.ca" TargetMode="External"/><Relationship Id="rId55" Type="http://schemas.openxmlformats.org/officeDocument/2006/relationships/hyperlink" Target="mailto:katrina.soh@utoronto.ca" TargetMode="External"/><Relationship Id="rId76" Type="http://schemas.openxmlformats.org/officeDocument/2006/relationships/hyperlink" Target="mailto:angela.rosa@utoronto.ca" TargetMode="External"/><Relationship Id="rId97" Type="http://schemas.openxmlformats.org/officeDocument/2006/relationships/hyperlink" Target="mailto:nancy.calabrese@utoronto.ca" TargetMode="External"/><Relationship Id="rId120" Type="http://schemas.openxmlformats.org/officeDocument/2006/relationships/hyperlink" Target="mailto:paula.smellie@utoronto.ca;" TargetMode="External"/><Relationship Id="rId141" Type="http://schemas.openxmlformats.org/officeDocument/2006/relationships/hyperlink" Target="mailto:Ivan.Cheng@utoronto.ca" TargetMode="External"/><Relationship Id="rId7" Type="http://schemas.openxmlformats.org/officeDocument/2006/relationships/hyperlink" Target="mailto:katrina.soh@utoronto.ca" TargetMode="External"/><Relationship Id="rId162" Type="http://schemas.openxmlformats.org/officeDocument/2006/relationships/hyperlink" Target="mailto:elisabete@mie.utoronto.ca" TargetMode="External"/><Relationship Id="rId183" Type="http://schemas.openxmlformats.org/officeDocument/2006/relationships/hyperlink" Target="mailto:immunology.office@utoronto.ca" TargetMode="External"/><Relationship Id="rId218" Type="http://schemas.openxmlformats.org/officeDocument/2006/relationships/hyperlink" Target="mailto:arlene.smith@utoronto.ca" TargetMode="External"/><Relationship Id="rId239" Type="http://schemas.openxmlformats.org/officeDocument/2006/relationships/hyperlink" Target="mailto:merle.casci@utoronto.ca" TargetMode="External"/><Relationship Id="rId250" Type="http://schemas.openxmlformats.org/officeDocument/2006/relationships/hyperlink" Target="mailto:stevenmc.chan@utoronto.ca" TargetMode="External"/><Relationship Id="rId271" Type="http://schemas.openxmlformats.org/officeDocument/2006/relationships/hyperlink" Target="mailto:lisaj@physics.utoronto.ca" TargetMode="External"/><Relationship Id="rId292" Type="http://schemas.openxmlformats.org/officeDocument/2006/relationships/hyperlink" Target="mailto:angela.rosa@utoronto.ca" TargetMode="External"/><Relationship Id="rId306" Type="http://schemas.openxmlformats.org/officeDocument/2006/relationships/hyperlink" Target="mailto:anatomy@utoronto.ca" TargetMode="External"/><Relationship Id="rId24" Type="http://schemas.openxmlformats.org/officeDocument/2006/relationships/hyperlink" Target="mailto:merle.casci@utoronto.ca" TargetMode="External"/><Relationship Id="rId45" Type="http://schemas.openxmlformats.org/officeDocument/2006/relationships/hyperlink" Target="mailto:katrina.soh@utoronto.ca" TargetMode="External"/><Relationship Id="rId66" Type="http://schemas.openxmlformats.org/officeDocument/2006/relationships/hyperlink" Target="mailto:angela.rosa@utoronto.ca" TargetMode="External"/><Relationship Id="rId87" Type="http://schemas.openxmlformats.org/officeDocument/2006/relationships/hyperlink" Target="mailto:immunology.office@utoronto.ca" TargetMode="External"/><Relationship Id="rId110" Type="http://schemas.openxmlformats.org/officeDocument/2006/relationships/hyperlink" Target="mailto:nancy.calabrese@utoronto.ca" TargetMode="External"/><Relationship Id="rId131" Type="http://schemas.openxmlformats.org/officeDocument/2006/relationships/hyperlink" Target="mailto:merle.casci@utoronto.ca" TargetMode="External"/><Relationship Id="rId152" Type="http://schemas.openxmlformats.org/officeDocument/2006/relationships/hyperlink" Target="mailto:patrick.gunning@utoronto.ca" TargetMode="External"/><Relationship Id="rId173" Type="http://schemas.openxmlformats.org/officeDocument/2006/relationships/hyperlink" Target="mailto:sachdev.sidhu@utoronto.ca" TargetMode="External"/><Relationship Id="rId194" Type="http://schemas.openxmlformats.org/officeDocument/2006/relationships/hyperlink" Target="mailto:nancy.calabrese@utoronto.ca" TargetMode="External"/><Relationship Id="rId208" Type="http://schemas.openxmlformats.org/officeDocument/2006/relationships/hyperlink" Target="mailto:konstantin@mie.utoronto.ca" TargetMode="External"/><Relationship Id="rId229" Type="http://schemas.openxmlformats.org/officeDocument/2006/relationships/hyperlink" Target="mailto:djob@chem.utoronto.ca" TargetMode="External"/><Relationship Id="rId240" Type="http://schemas.openxmlformats.org/officeDocument/2006/relationships/hyperlink" Target="mailto:paula.smellie@utoronto.ca;" TargetMode="External"/><Relationship Id="rId261" Type="http://schemas.openxmlformats.org/officeDocument/2006/relationships/hyperlink" Target="mailto:angelika.kocan@utoronto.ca" TargetMode="External"/><Relationship Id="rId14" Type="http://schemas.openxmlformats.org/officeDocument/2006/relationships/hyperlink" Target="mailto:angela.rosa@utoronto.ca" TargetMode="External"/><Relationship Id="rId35" Type="http://schemas.openxmlformats.org/officeDocument/2006/relationships/hyperlink" Target="mailto:elizabeth.sutherland@utoronto.ca" TargetMode="External"/><Relationship Id="rId56" Type="http://schemas.openxmlformats.org/officeDocument/2006/relationships/hyperlink" Target="mailto:angela.rosa@utoronto.ca" TargetMode="External"/><Relationship Id="rId77" Type="http://schemas.openxmlformats.org/officeDocument/2006/relationships/hyperlink" Target="mailto:angela.rosa@utoronto.ca" TargetMode="External"/><Relationship Id="rId100" Type="http://schemas.openxmlformats.org/officeDocument/2006/relationships/hyperlink" Target="mailto:nancy.calabrese@utoronto.ca" TargetMode="External"/><Relationship Id="rId282" Type="http://schemas.openxmlformats.org/officeDocument/2006/relationships/hyperlink" Target="mailto:arlene.smith@utoronto.ca" TargetMode="External"/><Relationship Id="rId8" Type="http://schemas.openxmlformats.org/officeDocument/2006/relationships/hyperlink" Target="mailto:katrina.soh@utoronto.ca" TargetMode="External"/><Relationship Id="rId98" Type="http://schemas.openxmlformats.org/officeDocument/2006/relationships/hyperlink" Target="mailto:nancy.calabrese@utoronto.ca" TargetMode="External"/><Relationship Id="rId121" Type="http://schemas.openxmlformats.org/officeDocument/2006/relationships/hyperlink" Target="mailto:paula.smellie@utoronto.ca;" TargetMode="External"/><Relationship Id="rId142" Type="http://schemas.openxmlformats.org/officeDocument/2006/relationships/hyperlink" Target="mailto:christine.kreutzer@utoronto.ca" TargetMode="External"/><Relationship Id="rId163" Type="http://schemas.openxmlformats.org/officeDocument/2006/relationships/hyperlink" Target="mailto:Ivan.Cheng@utoronto.ca" TargetMode="External"/><Relationship Id="rId184" Type="http://schemas.openxmlformats.org/officeDocument/2006/relationships/hyperlink" Target="mailto:leo.chou@utoronto.ca" TargetMode="External"/><Relationship Id="rId219" Type="http://schemas.openxmlformats.org/officeDocument/2006/relationships/hyperlink" Target="mailto:arlene.smith@utoronto.ca" TargetMode="External"/><Relationship Id="rId230" Type="http://schemas.openxmlformats.org/officeDocument/2006/relationships/hyperlink" Target="mailto:angela.rosa@utoronto.ca" TargetMode="External"/><Relationship Id="rId251" Type="http://schemas.openxmlformats.org/officeDocument/2006/relationships/hyperlink" Target="mailto:Ivan.Cheng@utoronto.ca" TargetMode="External"/><Relationship Id="rId25" Type="http://schemas.openxmlformats.org/officeDocument/2006/relationships/hyperlink" Target="mailto:katrina.soh@utoronto.ca" TargetMode="External"/><Relationship Id="rId46" Type="http://schemas.openxmlformats.org/officeDocument/2006/relationships/hyperlink" Target="mailto:Immunology.Office@utoronto.ca" TargetMode="External"/><Relationship Id="rId67" Type="http://schemas.openxmlformats.org/officeDocument/2006/relationships/hyperlink" Target="mailto:angela.rosa@utoronto.ca" TargetMode="External"/><Relationship Id="rId272" Type="http://schemas.openxmlformats.org/officeDocument/2006/relationships/hyperlink" Target="mailto:angela.rosa@utoronto.ca" TargetMode="External"/><Relationship Id="rId293" Type="http://schemas.openxmlformats.org/officeDocument/2006/relationships/hyperlink" Target="mailto:apwong@sickkids.ca" TargetMode="External"/><Relationship Id="rId307" Type="http://schemas.openxmlformats.org/officeDocument/2006/relationships/hyperlink" Target="mailto:anatomy@utoronto.ca" TargetMode="External"/><Relationship Id="rId88" Type="http://schemas.openxmlformats.org/officeDocument/2006/relationships/hyperlink" Target="mailto:immunology.office@utoronto.ca" TargetMode="External"/><Relationship Id="rId111" Type="http://schemas.openxmlformats.org/officeDocument/2006/relationships/hyperlink" Target="mailto:katrina.soh@utoronto.ca" TargetMode="External"/><Relationship Id="rId132" Type="http://schemas.openxmlformats.org/officeDocument/2006/relationships/hyperlink" Target="mailto:angela.rosa@utoronto.ca" TargetMode="External"/><Relationship Id="rId153" Type="http://schemas.openxmlformats.org/officeDocument/2006/relationships/hyperlink" Target="mailto:Leong-poiH@smh.ca" TargetMode="External"/><Relationship Id="rId174" Type="http://schemas.openxmlformats.org/officeDocument/2006/relationships/hyperlink" Target="mailto:penney.gilbert@utoronto.ca" TargetMode="External"/><Relationship Id="rId195" Type="http://schemas.openxmlformats.org/officeDocument/2006/relationships/hyperlink" Target="mailto:brenda.andrews@utoronto.ca" TargetMode="External"/><Relationship Id="rId209" Type="http://schemas.openxmlformats.org/officeDocument/2006/relationships/hyperlink" Target="mailto:angela.rosa@utoronto.ca" TargetMode="External"/><Relationship Id="rId220" Type="http://schemas.openxmlformats.org/officeDocument/2006/relationships/hyperlink" Target="mailto:katrina.soh@utoronto.ca" TargetMode="External"/><Relationship Id="rId241" Type="http://schemas.openxmlformats.org/officeDocument/2006/relationships/hyperlink" Target="mailto:paula.smellie@utoronto.ca;" TargetMode="External"/><Relationship Id="rId15" Type="http://schemas.openxmlformats.org/officeDocument/2006/relationships/hyperlink" Target="mailto:katrina.soh@utoronto.ca" TargetMode="External"/><Relationship Id="rId36" Type="http://schemas.openxmlformats.org/officeDocument/2006/relationships/hyperlink" Target="mailto:elizabeth.sutherland@utoronto.ca" TargetMode="External"/><Relationship Id="rId57" Type="http://schemas.openxmlformats.org/officeDocument/2006/relationships/hyperlink" Target="mailto:katrina.soh@utoronto.ca" TargetMode="External"/><Relationship Id="rId262" Type="http://schemas.openxmlformats.org/officeDocument/2006/relationships/hyperlink" Target="mailto:angelika.kocan@utoronto.ca" TargetMode="External"/><Relationship Id="rId283" Type="http://schemas.openxmlformats.org/officeDocument/2006/relationships/hyperlink" Target="mailto:nancy.calabrese@utoronto.ca" TargetMode="External"/><Relationship Id="rId78" Type="http://schemas.openxmlformats.org/officeDocument/2006/relationships/hyperlink" Target="mailto:angela.rosa@utoronto.ca" TargetMode="External"/><Relationship Id="rId99" Type="http://schemas.openxmlformats.org/officeDocument/2006/relationships/hyperlink" Target="mailto:nancy.calabrese@utoronto.ca" TargetMode="External"/><Relationship Id="rId101" Type="http://schemas.openxmlformats.org/officeDocument/2006/relationships/hyperlink" Target="mailto:angela.rosa@utoronto.ca" TargetMode="External"/><Relationship Id="rId122" Type="http://schemas.openxmlformats.org/officeDocument/2006/relationships/hyperlink" Target="mailto:paula.smellie@utoronto.ca" TargetMode="External"/><Relationship Id="rId143" Type="http://schemas.openxmlformats.org/officeDocument/2006/relationships/hyperlink" Target="mailto:merle.casci@utoronto.ca" TargetMode="External"/><Relationship Id="rId164" Type="http://schemas.openxmlformats.org/officeDocument/2006/relationships/hyperlink" Target="mailto:katrina.soh@utoronto.ca" TargetMode="External"/><Relationship Id="rId185" Type="http://schemas.openxmlformats.org/officeDocument/2006/relationships/hyperlink" Target="mailto:sevan.hopyan@sickkids.ca" TargetMode="External"/><Relationship Id="rId9" Type="http://schemas.openxmlformats.org/officeDocument/2006/relationships/hyperlink" Target="mailto:elizabeth.den.hartog@utoronto.ca" TargetMode="External"/><Relationship Id="rId210" Type="http://schemas.openxmlformats.org/officeDocument/2006/relationships/hyperlink" Target="mailto:Ivan.Cheng@utoronto.ca" TargetMode="External"/><Relationship Id="rId26" Type="http://schemas.openxmlformats.org/officeDocument/2006/relationships/hyperlink" Target="mailto:christine.kreutzer@utoronto.ca" TargetMode="External"/><Relationship Id="rId231" Type="http://schemas.openxmlformats.org/officeDocument/2006/relationships/hyperlink" Target="mailto:lynette.anderson@utoronto.ca" TargetMode="External"/><Relationship Id="rId252" Type="http://schemas.openxmlformats.org/officeDocument/2006/relationships/hyperlink" Target="mailto:nancy.calabrese@utoronto.ca" TargetMode="External"/><Relationship Id="rId273" Type="http://schemas.openxmlformats.org/officeDocument/2006/relationships/hyperlink" Target="mailto:paula.smellie@utoronto.ca" TargetMode="External"/><Relationship Id="rId294" Type="http://schemas.openxmlformats.org/officeDocument/2006/relationships/hyperlink" Target="mailto:michael.garton@utoronto.ca" TargetMode="External"/><Relationship Id="rId308" Type="http://schemas.openxmlformats.org/officeDocument/2006/relationships/hyperlink" Target="mailto:stephanie.melo@utoronto.ca" TargetMode="External"/><Relationship Id="rId47" Type="http://schemas.openxmlformats.org/officeDocument/2006/relationships/hyperlink" Target="mailto:merle.casci@utoronto.ca" TargetMode="External"/><Relationship Id="rId68" Type="http://schemas.openxmlformats.org/officeDocument/2006/relationships/hyperlink" Target="mailto:v.tropepe@utoronto.ca" TargetMode="External"/><Relationship Id="rId89" Type="http://schemas.openxmlformats.org/officeDocument/2006/relationships/hyperlink" Target="mailto:immunology.office@utoronto.ca" TargetMode="External"/><Relationship Id="rId112" Type="http://schemas.openxmlformats.org/officeDocument/2006/relationships/hyperlink" Target="mailto:lynette.anderson@utoronto.ca" TargetMode="External"/><Relationship Id="rId133" Type="http://schemas.openxmlformats.org/officeDocument/2006/relationships/hyperlink" Target="mailto:Ivan.Cheng@utoronto.ca" TargetMode="External"/><Relationship Id="rId154" Type="http://schemas.openxmlformats.org/officeDocument/2006/relationships/hyperlink" Target="mailto:nir.lipsman@utoronto.ca" TargetMode="External"/><Relationship Id="rId175" Type="http://schemas.openxmlformats.org/officeDocument/2006/relationships/hyperlink" Target="mailto:cindi.morshead@utoronto.ca" TargetMode="External"/><Relationship Id="rId196" Type="http://schemas.openxmlformats.org/officeDocument/2006/relationships/hyperlink" Target="mailto:finance.phm@utoronto.ca" TargetMode="External"/><Relationship Id="rId200" Type="http://schemas.openxmlformats.org/officeDocument/2006/relationships/hyperlink" Target="mailto:schoellig@utias.utoronto.ca" TargetMode="External"/><Relationship Id="rId16" Type="http://schemas.openxmlformats.org/officeDocument/2006/relationships/hyperlink" Target="mailto:lisaj@physics.utoronto.ca" TargetMode="External"/><Relationship Id="rId221" Type="http://schemas.openxmlformats.org/officeDocument/2006/relationships/hyperlink" Target="mailto:keith.pardee@utoronto.ca" TargetMode="External"/><Relationship Id="rId242" Type="http://schemas.openxmlformats.org/officeDocument/2006/relationships/hyperlink" Target="mailto:nancy.calabrese@utoronto.ca" TargetMode="External"/><Relationship Id="rId263" Type="http://schemas.openxmlformats.org/officeDocument/2006/relationships/hyperlink" Target="mailto:angelika.kocan@utoronto.ca" TargetMode="External"/><Relationship Id="rId284" Type="http://schemas.openxmlformats.org/officeDocument/2006/relationships/hyperlink" Target="mailto:sevan.hopyan@sickkids.ca" TargetMode="External"/><Relationship Id="rId37" Type="http://schemas.openxmlformats.org/officeDocument/2006/relationships/hyperlink" Target="mailto:nelson.cabral@utoronto.ca" TargetMode="External"/><Relationship Id="rId58" Type="http://schemas.openxmlformats.org/officeDocument/2006/relationships/hyperlink" Target="mailto:katrina.soh@utoronto.ca" TargetMode="External"/><Relationship Id="rId79" Type="http://schemas.openxmlformats.org/officeDocument/2006/relationships/hyperlink" Target="mailto:angela.rosa@utoronto.ca" TargetMode="External"/><Relationship Id="rId102" Type="http://schemas.openxmlformats.org/officeDocument/2006/relationships/hyperlink" Target="mailto:angela.rosa@utoronto.ca" TargetMode="External"/><Relationship Id="rId123" Type="http://schemas.openxmlformats.org/officeDocument/2006/relationships/hyperlink" Target="mailto:paula.smellie@utoronto.ca" TargetMode="External"/><Relationship Id="rId144" Type="http://schemas.openxmlformats.org/officeDocument/2006/relationships/hyperlink" Target="mailto:anna.capizzano@sickkids.ca," TargetMode="External"/><Relationship Id="rId90" Type="http://schemas.openxmlformats.org/officeDocument/2006/relationships/hyperlink" Target="mailto:immunology.office@utoronto.ca" TargetMode="External"/><Relationship Id="rId165" Type="http://schemas.openxmlformats.org/officeDocument/2006/relationships/hyperlink" Target="mailto:angela.rosa@utoronto.ca" TargetMode="External"/><Relationship Id="rId186" Type="http://schemas.openxmlformats.org/officeDocument/2006/relationships/hyperlink" Target="mailto:nancy.calabrese@utoronto.ca" TargetMode="External"/><Relationship Id="rId211" Type="http://schemas.openxmlformats.org/officeDocument/2006/relationships/hyperlink" Target="mailto:elisabete@mie.utoronto.ca" TargetMode="External"/><Relationship Id="rId232" Type="http://schemas.openxmlformats.org/officeDocument/2006/relationships/hyperlink" Target="mailto:merle.casci@utoronto.ca" TargetMode="External"/><Relationship Id="rId253" Type="http://schemas.openxmlformats.org/officeDocument/2006/relationships/hyperlink" Target="mailto:jdick@uhnresearch.ca" TargetMode="External"/><Relationship Id="rId274" Type="http://schemas.openxmlformats.org/officeDocument/2006/relationships/hyperlink" Target="mailto:nelson.cabral@utoronto.ca" TargetMode="External"/><Relationship Id="rId295" Type="http://schemas.openxmlformats.org/officeDocument/2006/relationships/hyperlink" Target="mailto:angela.rosa@utoronto.ca" TargetMode="External"/><Relationship Id="rId309" Type="http://schemas.openxmlformats.org/officeDocument/2006/relationships/hyperlink" Target="mailto:myron.cybulsky@utoronto.ca" TargetMode="External"/><Relationship Id="rId27" Type="http://schemas.openxmlformats.org/officeDocument/2006/relationships/hyperlink" Target="mailto:merle.casci@utoronto.ca" TargetMode="External"/><Relationship Id="rId48" Type="http://schemas.openxmlformats.org/officeDocument/2006/relationships/hyperlink" Target="mailto:merle.casci@utoronto.ca" TargetMode="External"/><Relationship Id="rId69" Type="http://schemas.openxmlformats.org/officeDocument/2006/relationships/hyperlink" Target="mailto:john.calarco@utoronto.ca" TargetMode="External"/><Relationship Id="rId113" Type="http://schemas.openxmlformats.org/officeDocument/2006/relationships/hyperlink" Target="mailto:anna.capizzano@sickkids.ca," TargetMode="External"/><Relationship Id="rId134" Type="http://schemas.openxmlformats.org/officeDocument/2006/relationships/hyperlink" Target="mailto:Ivan.Cheng@utoronto.ca" TargetMode="External"/><Relationship Id="rId80" Type="http://schemas.openxmlformats.org/officeDocument/2006/relationships/hyperlink" Target="mailto:katrina.soh@utoronto.ca" TargetMode="External"/><Relationship Id="rId155" Type="http://schemas.openxmlformats.org/officeDocument/2006/relationships/hyperlink" Target="mailto:jan.robertson@utoronto.ca" TargetMode="External"/><Relationship Id="rId176" Type="http://schemas.openxmlformats.org/officeDocument/2006/relationships/hyperlink" Target="mailto:mikko.taipale@utoronto.ca" TargetMode="External"/><Relationship Id="rId197" Type="http://schemas.openxmlformats.org/officeDocument/2006/relationships/hyperlink" Target="mailto:finance.phm@utoronto.ca" TargetMode="External"/><Relationship Id="rId201" Type="http://schemas.openxmlformats.org/officeDocument/2006/relationships/hyperlink" Target="mailto:leo.chou@utoronto.ca" TargetMode="External"/><Relationship Id="rId222" Type="http://schemas.openxmlformats.org/officeDocument/2006/relationships/hyperlink" Target="mailto:nancy.calabrese@utoronto.ca" TargetMode="External"/><Relationship Id="rId243" Type="http://schemas.openxmlformats.org/officeDocument/2006/relationships/hyperlink" Target="mailto:katrina.soh@utoronto.ca" TargetMode="External"/><Relationship Id="rId264" Type="http://schemas.openxmlformats.org/officeDocument/2006/relationships/hyperlink" Target="mailto:angelika.kocan@utoronto.ca" TargetMode="External"/><Relationship Id="rId285" Type="http://schemas.openxmlformats.org/officeDocument/2006/relationships/hyperlink" Target="mailto:katrina.soh@utoronto.ca" TargetMode="External"/><Relationship Id="rId17" Type="http://schemas.openxmlformats.org/officeDocument/2006/relationships/hyperlink" Target="mailto:merle.casci@utoronto.ca" TargetMode="External"/><Relationship Id="rId38" Type="http://schemas.openxmlformats.org/officeDocument/2006/relationships/hyperlink" Target="mailto:nelson.cabral@utoronto.ca" TargetMode="External"/><Relationship Id="rId59" Type="http://schemas.openxmlformats.org/officeDocument/2006/relationships/hyperlink" Target="mailto:katrina.soh@utoronto.ca" TargetMode="External"/><Relationship Id="rId103" Type="http://schemas.openxmlformats.org/officeDocument/2006/relationships/hyperlink" Target="mailto:katrina.soh@utoronto.ca" TargetMode="External"/><Relationship Id="rId124" Type="http://schemas.openxmlformats.org/officeDocument/2006/relationships/hyperlink" Target="mailto:elizabeth.den.hartog@utoronto.ca" TargetMode="External"/><Relationship Id="rId310" Type="http://schemas.openxmlformats.org/officeDocument/2006/relationships/hyperlink" Target="mailto:bebhinn.treanor@utoronto.ca" TargetMode="External"/><Relationship Id="rId70" Type="http://schemas.openxmlformats.org/officeDocument/2006/relationships/hyperlink" Target="mailto:katrina.soh@utoronto.ca" TargetMode="External"/><Relationship Id="rId91" Type="http://schemas.openxmlformats.org/officeDocument/2006/relationships/hyperlink" Target="mailto:nancy.calabrese@utoronto.ca" TargetMode="External"/><Relationship Id="rId145" Type="http://schemas.openxmlformats.org/officeDocument/2006/relationships/hyperlink" Target="mailto:ravinder.dhillon@utoronto.ca" TargetMode="External"/><Relationship Id="rId166" Type="http://schemas.openxmlformats.org/officeDocument/2006/relationships/hyperlink" Target="mailto:leo.chou@utoronto.ca" TargetMode="External"/><Relationship Id="rId187" Type="http://schemas.openxmlformats.org/officeDocument/2006/relationships/hyperlink" Target="mailto:katrina.soh@utoronto.ca" TargetMode="External"/><Relationship Id="rId1" Type="http://schemas.openxmlformats.org/officeDocument/2006/relationships/hyperlink" Target="mailto:elisabete@mie.utoronto.ca" TargetMode="External"/><Relationship Id="rId212" Type="http://schemas.openxmlformats.org/officeDocument/2006/relationships/hyperlink" Target="mailto:angela.rosa@utoronto.ca" TargetMode="External"/><Relationship Id="rId233" Type="http://schemas.openxmlformats.org/officeDocument/2006/relationships/hyperlink" Target="mailto:nancy.calabrese@utoronto.ca" TargetMode="External"/><Relationship Id="rId254" Type="http://schemas.openxmlformats.org/officeDocument/2006/relationships/hyperlink" Target="mailto:katrina.soh@utoronto.ca" TargetMode="External"/><Relationship Id="rId28" Type="http://schemas.openxmlformats.org/officeDocument/2006/relationships/hyperlink" Target="mailto:christine.kreutzer@utoronto.ca" TargetMode="External"/><Relationship Id="rId49" Type="http://schemas.openxmlformats.org/officeDocument/2006/relationships/hyperlink" Target="mailto:christine.kreutzer@utoronto.ca" TargetMode="External"/><Relationship Id="rId114" Type="http://schemas.openxmlformats.org/officeDocument/2006/relationships/hyperlink" Target="mailto:anna.capizzano@sickkids.ca," TargetMode="External"/><Relationship Id="rId275" Type="http://schemas.openxmlformats.org/officeDocument/2006/relationships/hyperlink" Target="mailto:immunology.office@utoronto.ca" TargetMode="External"/><Relationship Id="rId296" Type="http://schemas.openxmlformats.org/officeDocument/2006/relationships/hyperlink" Target="mailto:julie.lefebvre@sickkids.ca" TargetMode="External"/><Relationship Id="rId300" Type="http://schemas.openxmlformats.org/officeDocument/2006/relationships/hyperlink" Target="mailto:william.navarre@utoronto.ca" TargetMode="External"/><Relationship Id="rId60" Type="http://schemas.openxmlformats.org/officeDocument/2006/relationships/hyperlink" Target="mailto:katrina.soh@utoronto.ca" TargetMode="External"/><Relationship Id="rId81" Type="http://schemas.openxmlformats.org/officeDocument/2006/relationships/hyperlink" Target="mailto:djob@chem.utoronto.ca" TargetMode="External"/><Relationship Id="rId135" Type="http://schemas.openxmlformats.org/officeDocument/2006/relationships/hyperlink" Target="mailto:Ivan.Cheng@utoronto.ca" TargetMode="External"/><Relationship Id="rId156" Type="http://schemas.openxmlformats.org/officeDocument/2006/relationships/hyperlink" Target="mailto:john.calarco@utoronto.ca" TargetMode="External"/><Relationship Id="rId177" Type="http://schemas.openxmlformats.org/officeDocument/2006/relationships/hyperlink" Target="mailto:angela.rosa@utoronto.ca" TargetMode="External"/><Relationship Id="rId198" Type="http://schemas.openxmlformats.org/officeDocument/2006/relationships/hyperlink" Target="mailto:finance.phm@utoronto.ca" TargetMode="External"/><Relationship Id="rId202" Type="http://schemas.openxmlformats.org/officeDocument/2006/relationships/hyperlink" Target="mailto:angela.rosa@utoronto.ca" TargetMode="External"/><Relationship Id="rId223" Type="http://schemas.openxmlformats.org/officeDocument/2006/relationships/hyperlink" Target="mailto:lynette.anderson@utoronto.ca" TargetMode="External"/><Relationship Id="rId244" Type="http://schemas.openxmlformats.org/officeDocument/2006/relationships/hyperlink" Target="mailto:angela.rosa@utoronto.ca" TargetMode="External"/><Relationship Id="rId18" Type="http://schemas.openxmlformats.org/officeDocument/2006/relationships/hyperlink" Target="mailto:merle.casci@utoronto.ca" TargetMode="External"/><Relationship Id="rId39" Type="http://schemas.openxmlformats.org/officeDocument/2006/relationships/hyperlink" Target="mailto:nelson.cabral@utoronto.ca" TargetMode="External"/><Relationship Id="rId265" Type="http://schemas.openxmlformats.org/officeDocument/2006/relationships/hyperlink" Target="mailto:angelika.kocan@utoronto.ca" TargetMode="External"/><Relationship Id="rId286" Type="http://schemas.openxmlformats.org/officeDocument/2006/relationships/hyperlink" Target="mailto:agostino.pierro@sickkids.ca" TargetMode="External"/><Relationship Id="rId50" Type="http://schemas.openxmlformats.org/officeDocument/2006/relationships/hyperlink" Target="mailto:katrina.soh@utoronto.ca" TargetMode="External"/><Relationship Id="rId104" Type="http://schemas.openxmlformats.org/officeDocument/2006/relationships/hyperlink" Target="mailto:merle.casci@utoronto.ca" TargetMode="External"/><Relationship Id="rId125" Type="http://schemas.openxmlformats.org/officeDocument/2006/relationships/hyperlink" Target="mailto:angela.rosa@utoronto.ca" TargetMode="External"/><Relationship Id="rId146" Type="http://schemas.openxmlformats.org/officeDocument/2006/relationships/hyperlink" Target="mailto:djob@chem.utoronto.ca" TargetMode="External"/><Relationship Id="rId167" Type="http://schemas.openxmlformats.org/officeDocument/2006/relationships/hyperlink" Target="mailto:angela.rosa@utoronto.ca" TargetMode="External"/><Relationship Id="rId188" Type="http://schemas.openxmlformats.org/officeDocument/2006/relationships/hyperlink" Target="mailto:arlene.smith@utoronto.ca" TargetMode="External"/><Relationship Id="rId311" Type="http://schemas.openxmlformats.org/officeDocument/2006/relationships/hyperlink" Target="mailto:michael.garton@utoronto.ca" TargetMode="External"/><Relationship Id="rId71" Type="http://schemas.openxmlformats.org/officeDocument/2006/relationships/hyperlink" Target="mailto:katrina.soh@utoronto.ca" TargetMode="External"/><Relationship Id="rId92" Type="http://schemas.openxmlformats.org/officeDocument/2006/relationships/hyperlink" Target="mailto:nancy.calabrese@utoronto.ca" TargetMode="External"/><Relationship Id="rId213" Type="http://schemas.openxmlformats.org/officeDocument/2006/relationships/hyperlink" Target="mailto:lisaj@physics.utoronto.ca" TargetMode="External"/><Relationship Id="rId234" Type="http://schemas.openxmlformats.org/officeDocument/2006/relationships/hyperlink" Target="mailto:arlene.smith@utoronto.ca" TargetMode="External"/><Relationship Id="rId2" Type="http://schemas.openxmlformats.org/officeDocument/2006/relationships/hyperlink" Target="mailto:lynette.anderson@utoronto.ca" TargetMode="External"/><Relationship Id="rId29" Type="http://schemas.openxmlformats.org/officeDocument/2006/relationships/hyperlink" Target="mailto:Immunology.Office@utoronto.ca" TargetMode="External"/><Relationship Id="rId255" Type="http://schemas.openxmlformats.org/officeDocument/2006/relationships/hyperlink" Target="mailto:Ivan.Cheng@utoronto.ca" TargetMode="External"/><Relationship Id="rId276" Type="http://schemas.openxmlformats.org/officeDocument/2006/relationships/hyperlink" Target="mailto:lynette.anderson@utoronto.ca" TargetMode="External"/><Relationship Id="rId297" Type="http://schemas.openxmlformats.org/officeDocument/2006/relationships/hyperlink" Target="mailto:lynette.anderson@utoronto.ca" TargetMode="External"/><Relationship Id="rId40" Type="http://schemas.openxmlformats.org/officeDocument/2006/relationships/hyperlink" Target="mailto:nelson.cabral@utoronto.ca" TargetMode="External"/><Relationship Id="rId115" Type="http://schemas.openxmlformats.org/officeDocument/2006/relationships/hyperlink" Target="mailto:katrina.soh@utoronto.ca" TargetMode="External"/><Relationship Id="rId136" Type="http://schemas.openxmlformats.org/officeDocument/2006/relationships/hyperlink" Target="mailto:Ivan.Cheng@utoronto.ca" TargetMode="External"/><Relationship Id="rId157" Type="http://schemas.openxmlformats.org/officeDocument/2006/relationships/hyperlink" Target="mailto:sarah.crome@uhnresearch.ca" TargetMode="External"/><Relationship Id="rId178" Type="http://schemas.openxmlformats.org/officeDocument/2006/relationships/hyperlink" Target="mailto:angela.rosa@utoronto.ca" TargetMode="External"/><Relationship Id="rId301" Type="http://schemas.openxmlformats.org/officeDocument/2006/relationships/hyperlink" Target="mailto:anna.capizzano@sickkids.ca," TargetMode="External"/><Relationship Id="rId61" Type="http://schemas.openxmlformats.org/officeDocument/2006/relationships/hyperlink" Target="mailto:elizabeth.den.hartog@utoronto.ca" TargetMode="External"/><Relationship Id="rId82" Type="http://schemas.openxmlformats.org/officeDocument/2006/relationships/hyperlink" Target="mailto:djob@chem.utoronto.ca" TargetMode="External"/><Relationship Id="rId199" Type="http://schemas.openxmlformats.org/officeDocument/2006/relationships/hyperlink" Target="mailto:angela.rosa@utoronto.ca" TargetMode="External"/><Relationship Id="rId203" Type="http://schemas.openxmlformats.org/officeDocument/2006/relationships/hyperlink" Target="mailto:angela.rosa@utoronto.ca" TargetMode="External"/><Relationship Id="rId19" Type="http://schemas.openxmlformats.org/officeDocument/2006/relationships/hyperlink" Target="mailto:merle.casci@utoronto.ca" TargetMode="External"/><Relationship Id="rId224" Type="http://schemas.openxmlformats.org/officeDocument/2006/relationships/hyperlink" Target="mailto:arlene.smith@utoronto.ca" TargetMode="External"/><Relationship Id="rId245" Type="http://schemas.openxmlformats.org/officeDocument/2006/relationships/hyperlink" Target="mailto:elisabete@mie.utoronto.ca" TargetMode="External"/><Relationship Id="rId266" Type="http://schemas.openxmlformats.org/officeDocument/2006/relationships/hyperlink" Target="mailto:angelika.kocan@utoronto.ca" TargetMode="External"/><Relationship Id="rId287" Type="http://schemas.openxmlformats.org/officeDocument/2006/relationships/hyperlink" Target="mailto:nancy.calabrese@utoronto.ca" TargetMode="External"/><Relationship Id="rId30" Type="http://schemas.openxmlformats.org/officeDocument/2006/relationships/hyperlink" Target="mailto:arlene.smith@utoronto.ca" TargetMode="External"/><Relationship Id="rId105" Type="http://schemas.openxmlformats.org/officeDocument/2006/relationships/hyperlink" Target="mailto:merle.casci@utoronto.ca" TargetMode="External"/><Relationship Id="rId126" Type="http://schemas.openxmlformats.org/officeDocument/2006/relationships/hyperlink" Target="mailto:nelson.cabral@utoronto.ca" TargetMode="External"/><Relationship Id="rId147" Type="http://schemas.openxmlformats.org/officeDocument/2006/relationships/hyperlink" Target="mailto:elizabeth.sutherland@utoronto.ca" TargetMode="External"/><Relationship Id="rId168" Type="http://schemas.openxmlformats.org/officeDocument/2006/relationships/hyperlink" Target="mailto:Stephanie.Protze@uhnresearch.ca" TargetMode="External"/><Relationship Id="rId312" Type="http://schemas.openxmlformats.org/officeDocument/2006/relationships/hyperlink" Target="mailto:angela.rosa@utoronto.ca" TargetMode="External"/><Relationship Id="rId51" Type="http://schemas.openxmlformats.org/officeDocument/2006/relationships/hyperlink" Target="mailto:angela.rosa@utoronto.ca" TargetMode="External"/><Relationship Id="rId72" Type="http://schemas.openxmlformats.org/officeDocument/2006/relationships/hyperlink" Target="mailto:aaron.wheeler@utoronto.ca" TargetMode="External"/><Relationship Id="rId93" Type="http://schemas.openxmlformats.org/officeDocument/2006/relationships/hyperlink" Target="mailto:nancy.calabrese@utoronto.ca" TargetMode="External"/><Relationship Id="rId189" Type="http://schemas.openxmlformats.org/officeDocument/2006/relationships/hyperlink" Target="mailto:keith.pardee@utoronto.ca" TargetMode="External"/><Relationship Id="rId3" Type="http://schemas.openxmlformats.org/officeDocument/2006/relationships/hyperlink" Target="mailto:paula.smellie@utoronto.ca" TargetMode="External"/><Relationship Id="rId214" Type="http://schemas.openxmlformats.org/officeDocument/2006/relationships/hyperlink" Target="mailto:lynette.anderson@utoronto.ca" TargetMode="External"/><Relationship Id="rId235" Type="http://schemas.openxmlformats.org/officeDocument/2006/relationships/hyperlink" Target="mailto:paula.smellie@utoronto.ca" TargetMode="External"/><Relationship Id="rId256" Type="http://schemas.openxmlformats.org/officeDocument/2006/relationships/hyperlink" Target="mailto:nancy.calabrese@utoronto.ca" TargetMode="External"/><Relationship Id="rId277" Type="http://schemas.openxmlformats.org/officeDocument/2006/relationships/hyperlink" Target="mailto:cristina.amon@utoronto.ca" TargetMode="External"/><Relationship Id="rId298" Type="http://schemas.openxmlformats.org/officeDocument/2006/relationships/hyperlink" Target="mailto:angela.rosa@utoronto.ca" TargetMode="External"/><Relationship Id="rId116" Type="http://schemas.openxmlformats.org/officeDocument/2006/relationships/hyperlink" Target="mailto:lynette.anderson@utoronto.ca" TargetMode="External"/><Relationship Id="rId137" Type="http://schemas.openxmlformats.org/officeDocument/2006/relationships/hyperlink" Target="mailto:lynette.anderson@utoronto.ca" TargetMode="External"/><Relationship Id="rId158" Type="http://schemas.openxmlformats.org/officeDocument/2006/relationships/hyperlink" Target="mailto:immunology.office@utoronto.ca" TargetMode="External"/><Relationship Id="rId302" Type="http://schemas.openxmlformats.org/officeDocument/2006/relationships/hyperlink" Target="mailto:businessmanager.anesthesia@utoronto.ca" TargetMode="External"/><Relationship Id="rId20" Type="http://schemas.openxmlformats.org/officeDocument/2006/relationships/hyperlink" Target="mailto:merle.casci@utoronto.ca" TargetMode="External"/><Relationship Id="rId41" Type="http://schemas.openxmlformats.org/officeDocument/2006/relationships/hyperlink" Target="mailto:paula.smellie@utoronto.ca" TargetMode="External"/><Relationship Id="rId62" Type="http://schemas.openxmlformats.org/officeDocument/2006/relationships/hyperlink" Target="mailto:djob@chem.utoronto.ca" TargetMode="External"/><Relationship Id="rId83" Type="http://schemas.openxmlformats.org/officeDocument/2006/relationships/hyperlink" Target="mailto:djob@chem.utoronto.ca" TargetMode="External"/><Relationship Id="rId179" Type="http://schemas.openxmlformats.org/officeDocument/2006/relationships/hyperlink" Target="mailto:paula.smellie@utoronto.ca;" TargetMode="External"/><Relationship Id="rId190" Type="http://schemas.openxmlformats.org/officeDocument/2006/relationships/hyperlink" Target="mailto:katrina.soh@utoronto.ca" TargetMode="External"/><Relationship Id="rId204" Type="http://schemas.openxmlformats.org/officeDocument/2006/relationships/hyperlink" Target="mailto:robert.hamilton@sickkids.ca" TargetMode="External"/><Relationship Id="rId225" Type="http://schemas.openxmlformats.org/officeDocument/2006/relationships/hyperlink" Target="mailto:sachdev.sidhu@utoronto.ca" TargetMode="External"/><Relationship Id="rId246" Type="http://schemas.openxmlformats.org/officeDocument/2006/relationships/hyperlink" Target="mailto:katrina.soh@utoronto.ca" TargetMode="External"/><Relationship Id="rId267" Type="http://schemas.openxmlformats.org/officeDocument/2006/relationships/hyperlink" Target="mailto:angelika.kocan@utoronto.ca" TargetMode="External"/><Relationship Id="rId288" Type="http://schemas.openxmlformats.org/officeDocument/2006/relationships/hyperlink" Target="mailto:philip.sherman@sickkids.ca" TargetMode="External"/><Relationship Id="rId106" Type="http://schemas.openxmlformats.org/officeDocument/2006/relationships/hyperlink" Target="mailto:katrina.soh@utoronto.ca" TargetMode="External"/><Relationship Id="rId127" Type="http://schemas.openxmlformats.org/officeDocument/2006/relationships/hyperlink" Target="mailto:elizabeth.sutherland@utoronto.ca" TargetMode="External"/><Relationship Id="rId313" Type="http://schemas.openxmlformats.org/officeDocument/2006/relationships/hyperlink" Target="mailto:nelson.cabral@utoronto.ca" TargetMode="External"/><Relationship Id="rId10" Type="http://schemas.openxmlformats.org/officeDocument/2006/relationships/hyperlink" Target="mailto:katrina.soh@utoronto.ca" TargetMode="External"/><Relationship Id="rId31" Type="http://schemas.openxmlformats.org/officeDocument/2006/relationships/hyperlink" Target="mailto:jessica.bailey@utoronto.ca" TargetMode="External"/><Relationship Id="rId52" Type="http://schemas.openxmlformats.org/officeDocument/2006/relationships/hyperlink" Target="mailto:arlene.smith@utoronto.ca" TargetMode="External"/><Relationship Id="rId73" Type="http://schemas.openxmlformats.org/officeDocument/2006/relationships/hyperlink" Target="mailto:aaron.wheeler@utoronto.ca" TargetMode="External"/><Relationship Id="rId94" Type="http://schemas.openxmlformats.org/officeDocument/2006/relationships/hyperlink" Target="mailto:nancy.calabrese@utoronto.ca" TargetMode="External"/><Relationship Id="rId148" Type="http://schemas.openxmlformats.org/officeDocument/2006/relationships/hyperlink" Target="mailto:ninah@utoronto.ca" TargetMode="External"/><Relationship Id="rId169" Type="http://schemas.openxmlformats.org/officeDocument/2006/relationships/hyperlink" Target="mailto:nancy.calabrese@utoronto.ca" TargetMode="External"/><Relationship Id="rId4" Type="http://schemas.openxmlformats.org/officeDocument/2006/relationships/hyperlink" Target="mailto:konstantin@mie.utoronto.ca" TargetMode="External"/><Relationship Id="rId180" Type="http://schemas.openxmlformats.org/officeDocument/2006/relationships/hyperlink" Target="mailto:paula.smellie@utoronto.ca;" TargetMode="External"/><Relationship Id="rId215" Type="http://schemas.openxmlformats.org/officeDocument/2006/relationships/hyperlink" Target="mailto:merle.casci@utoronto.ca" TargetMode="External"/><Relationship Id="rId236" Type="http://schemas.openxmlformats.org/officeDocument/2006/relationships/hyperlink" Target="mailto:nilesh.ghugre@utoronto.ca" TargetMode="External"/><Relationship Id="rId257" Type="http://schemas.openxmlformats.org/officeDocument/2006/relationships/hyperlink" Target="mailto:elizabeth.sutherland@utoronto.ca" TargetMode="External"/><Relationship Id="rId278" Type="http://schemas.openxmlformats.org/officeDocument/2006/relationships/hyperlink" Target="mailto:christine.kreutzer@utoronto.ca" TargetMode="External"/><Relationship Id="rId303" Type="http://schemas.openxmlformats.org/officeDocument/2006/relationships/hyperlink" Target="mailto:angela.rosa@utoronto.ca" TargetMode="External"/><Relationship Id="rId42" Type="http://schemas.openxmlformats.org/officeDocument/2006/relationships/hyperlink" Target="mailto:paula.smellie@utoronto.ca" TargetMode="External"/><Relationship Id="rId84" Type="http://schemas.openxmlformats.org/officeDocument/2006/relationships/hyperlink" Target="mailto:katrina.soh@utoronto.ca" TargetMode="External"/><Relationship Id="rId138" Type="http://schemas.openxmlformats.org/officeDocument/2006/relationships/hyperlink" Target="mailto:lynette.anderson@utoronto.ca" TargetMode="External"/><Relationship Id="rId191" Type="http://schemas.openxmlformats.org/officeDocument/2006/relationships/hyperlink" Target="mailto:sachdev.sidhu@utoronto.ca" TargetMode="External"/><Relationship Id="rId205" Type="http://schemas.openxmlformats.org/officeDocument/2006/relationships/hyperlink" Target="mailto:finance.phm@utoronto.ca" TargetMode="External"/><Relationship Id="rId247" Type="http://schemas.openxmlformats.org/officeDocument/2006/relationships/hyperlink" Target="mailto:philip.awadalla@oicr.on.ca" TargetMode="External"/><Relationship Id="rId107" Type="http://schemas.openxmlformats.org/officeDocument/2006/relationships/hyperlink" Target="mailto:katrina.soh@utoronto.ca" TargetMode="External"/><Relationship Id="rId289" Type="http://schemas.openxmlformats.org/officeDocument/2006/relationships/hyperlink" Target="mailto:hyunokate.lee@utoronto.ca" TargetMode="External"/><Relationship Id="rId11" Type="http://schemas.openxmlformats.org/officeDocument/2006/relationships/hyperlink" Target="mailto:katrina.soh@utoronto.ca" TargetMode="External"/><Relationship Id="rId53" Type="http://schemas.openxmlformats.org/officeDocument/2006/relationships/hyperlink" Target="mailto:arlene.smith@utoronto.ca" TargetMode="External"/><Relationship Id="rId149" Type="http://schemas.openxmlformats.org/officeDocument/2006/relationships/hyperlink" Target="mailto:materials.engineering@utoronto.ca%20(maybe)" TargetMode="External"/><Relationship Id="rId314" Type="http://schemas.openxmlformats.org/officeDocument/2006/relationships/vmlDrawing" Target="../drawings/vmlDrawing5.vml"/><Relationship Id="rId95" Type="http://schemas.openxmlformats.org/officeDocument/2006/relationships/hyperlink" Target="mailto:nancy.calabrese@utoronto.ca" TargetMode="External"/><Relationship Id="rId160" Type="http://schemas.openxmlformats.org/officeDocument/2006/relationships/hyperlink" Target="mailto:elisabete@mie.utoronto.ca" TargetMode="External"/><Relationship Id="rId216" Type="http://schemas.openxmlformats.org/officeDocument/2006/relationships/hyperlink" Target="mailto:nelson.cabral@utoronto.ca" TargetMode="External"/><Relationship Id="rId258" Type="http://schemas.openxmlformats.org/officeDocument/2006/relationships/hyperlink" Target="mailto:katrina.soh@utoronto.ca" TargetMode="External"/><Relationship Id="rId22" Type="http://schemas.openxmlformats.org/officeDocument/2006/relationships/hyperlink" Target="mailto:merle.casci@utoronto.ca" TargetMode="External"/><Relationship Id="rId64" Type="http://schemas.openxmlformats.org/officeDocument/2006/relationships/hyperlink" Target="mailto:katrina.soh@utoronto.ca" TargetMode="External"/><Relationship Id="rId118" Type="http://schemas.openxmlformats.org/officeDocument/2006/relationships/hyperlink" Target="mailto:katrina.soh@utoronto.ca" TargetMode="External"/><Relationship Id="rId171" Type="http://schemas.openxmlformats.org/officeDocument/2006/relationships/hyperlink" Target="mailto:sevan.hopyan@sickkids.ca" TargetMode="External"/><Relationship Id="rId227" Type="http://schemas.openxmlformats.org/officeDocument/2006/relationships/hyperlink" Target="mailto:elizabeth.den.hartog@utoronto.ca" TargetMode="External"/><Relationship Id="rId269" Type="http://schemas.openxmlformats.org/officeDocument/2006/relationships/hyperlink" Target="mailto:konstantin@mie.utoronto.ca" TargetMode="External"/><Relationship Id="rId33" Type="http://schemas.openxmlformats.org/officeDocument/2006/relationships/hyperlink" Target="mailto:katrina.soh@utoronto.ca" TargetMode="External"/><Relationship Id="rId129" Type="http://schemas.openxmlformats.org/officeDocument/2006/relationships/hyperlink" Target="mailto:katrina.soh@utoronto.ca" TargetMode="External"/><Relationship Id="rId280" Type="http://schemas.openxmlformats.org/officeDocument/2006/relationships/hyperlink" Target="mailto:dr.khan@utoronto.ca" TargetMode="External"/><Relationship Id="rId75" Type="http://schemas.openxmlformats.org/officeDocument/2006/relationships/hyperlink" Target="mailto:aaron.wheeler@utoronto.ca" TargetMode="External"/><Relationship Id="rId140" Type="http://schemas.openxmlformats.org/officeDocument/2006/relationships/hyperlink" Target="mailto:merle.casci@utoronto.ca" TargetMode="External"/><Relationship Id="rId182" Type="http://schemas.openxmlformats.org/officeDocument/2006/relationships/hyperlink" Target="mailto:sarah.crome@uhnresearch.ca" TargetMode="External"/><Relationship Id="rId6" Type="http://schemas.openxmlformats.org/officeDocument/2006/relationships/hyperlink" Target="mailto:angela.rosa@utoronto.ca" TargetMode="External"/><Relationship Id="rId238" Type="http://schemas.openxmlformats.org/officeDocument/2006/relationships/hyperlink" Target="mailto:s.macparland@utoronto.ca" TargetMode="External"/><Relationship Id="rId291" Type="http://schemas.openxmlformats.org/officeDocument/2006/relationships/hyperlink" Target="mailto:penney.gilbert@utoronto.ca" TargetMode="External"/><Relationship Id="rId305" Type="http://schemas.openxmlformats.org/officeDocument/2006/relationships/hyperlink" Target="mailto:khosrow.adeli@sickkids.ca" TargetMode="External"/><Relationship Id="rId44" Type="http://schemas.openxmlformats.org/officeDocument/2006/relationships/hyperlink" Target="mailto:lynette.anderson@utoronto.ca" TargetMode="External"/><Relationship Id="rId86" Type="http://schemas.openxmlformats.org/officeDocument/2006/relationships/hyperlink" Target="mailto:immunology.office@utoronto.ca" TargetMode="External"/><Relationship Id="rId151" Type="http://schemas.openxmlformats.org/officeDocument/2006/relationships/hyperlink" Target="mailto:donna.wall@sickkids.c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mailto:arlene.smith@utoronto.ca" TargetMode="External"/><Relationship Id="rId299" Type="http://schemas.openxmlformats.org/officeDocument/2006/relationships/hyperlink" Target="mailto:william.navarre@utoronto.ca" TargetMode="External"/><Relationship Id="rId21" Type="http://schemas.openxmlformats.org/officeDocument/2006/relationships/hyperlink" Target="mailto:katrina.soh@utoronto.ca" TargetMode="External"/><Relationship Id="rId63" Type="http://schemas.openxmlformats.org/officeDocument/2006/relationships/hyperlink" Target="mailto:katrina.soh@utoronto.ca" TargetMode="External"/><Relationship Id="rId159" Type="http://schemas.openxmlformats.org/officeDocument/2006/relationships/hyperlink" Target="mailto:elisabete@mie.utoronto.ca" TargetMode="External"/><Relationship Id="rId324" Type="http://schemas.openxmlformats.org/officeDocument/2006/relationships/hyperlink" Target="mailto:katrina.soh@utoronto.ca" TargetMode="External"/><Relationship Id="rId366" Type="http://schemas.openxmlformats.org/officeDocument/2006/relationships/hyperlink" Target="mailto:ss.gao@utoronto.ca" TargetMode="External"/><Relationship Id="rId170" Type="http://schemas.openxmlformats.org/officeDocument/2006/relationships/hyperlink" Target="mailto:b.blencowe@utoronto.ca" TargetMode="External"/><Relationship Id="rId226" Type="http://schemas.openxmlformats.org/officeDocument/2006/relationships/hyperlink" Target="mailto:katrina.soh@utoronto.ca" TargetMode="External"/><Relationship Id="rId268" Type="http://schemas.openxmlformats.org/officeDocument/2006/relationships/hyperlink" Target="mailto:b.blencowe@utoronto.ca" TargetMode="External"/><Relationship Id="rId32" Type="http://schemas.openxmlformats.org/officeDocument/2006/relationships/hyperlink" Target="mailto:katrina.soh@utoronto.ca" TargetMode="External"/><Relationship Id="rId74" Type="http://schemas.openxmlformats.org/officeDocument/2006/relationships/hyperlink" Target="mailto:aaron.wheeler@utoronto.ca" TargetMode="External"/><Relationship Id="rId128" Type="http://schemas.openxmlformats.org/officeDocument/2006/relationships/hyperlink" Target="mailto:arlene.smith@utoronto.ca" TargetMode="External"/><Relationship Id="rId335" Type="http://schemas.openxmlformats.org/officeDocument/2006/relationships/hyperlink" Target="mailto:h.jackson@utoronto.ca" TargetMode="External"/><Relationship Id="rId5" Type="http://schemas.openxmlformats.org/officeDocument/2006/relationships/hyperlink" Target="mailto:nancy.calabrese@utoronto.ca" TargetMode="External"/><Relationship Id="rId181" Type="http://schemas.openxmlformats.org/officeDocument/2006/relationships/hyperlink" Target="mailto:Peter.Carlen@uhnresearch.ca" TargetMode="External"/><Relationship Id="rId237" Type="http://schemas.openxmlformats.org/officeDocument/2006/relationships/hyperlink" Target="mailto:julie.lefebvre@sickkids.ca" TargetMode="External"/><Relationship Id="rId279" Type="http://schemas.openxmlformats.org/officeDocument/2006/relationships/hyperlink" Target="mailto:dr.khan@utoronto.ca" TargetMode="External"/><Relationship Id="rId43" Type="http://schemas.openxmlformats.org/officeDocument/2006/relationships/hyperlink" Target="mailto:lynette.anderson@utoronto.ca" TargetMode="External"/><Relationship Id="rId139" Type="http://schemas.openxmlformats.org/officeDocument/2006/relationships/hyperlink" Target="mailto:christine.kreutzer@utoronto.ca" TargetMode="External"/><Relationship Id="rId290" Type="http://schemas.openxmlformats.org/officeDocument/2006/relationships/hyperlink" Target="mailto:penney.gilbert@utoronto.ca" TargetMode="External"/><Relationship Id="rId304" Type="http://schemas.openxmlformats.org/officeDocument/2006/relationships/hyperlink" Target="mailto:khosrow.adeli@sickkids.ca" TargetMode="External"/><Relationship Id="rId346" Type="http://schemas.openxmlformats.org/officeDocument/2006/relationships/hyperlink" Target="mailto:r.winklbauer@utoronto.ca" TargetMode="External"/><Relationship Id="rId85" Type="http://schemas.openxmlformats.org/officeDocument/2006/relationships/hyperlink" Target="mailto:katrina.soh@utoronto.ca" TargetMode="External"/><Relationship Id="rId150" Type="http://schemas.openxmlformats.org/officeDocument/2006/relationships/hyperlink" Target="mailto:jessica.bailey@utoronto.ca" TargetMode="External"/><Relationship Id="rId192" Type="http://schemas.openxmlformats.org/officeDocument/2006/relationships/hyperlink" Target="mailto:mikko.taipale@utoronto.ca" TargetMode="External"/><Relationship Id="rId206" Type="http://schemas.openxmlformats.org/officeDocument/2006/relationships/hyperlink" Target="mailto:angelika.kocan@utoronto.ca" TargetMode="External"/><Relationship Id="rId248" Type="http://schemas.openxmlformats.org/officeDocument/2006/relationships/hyperlink" Target="mailto:elisabete@mie.utoronto.ca" TargetMode="External"/><Relationship Id="rId12" Type="http://schemas.openxmlformats.org/officeDocument/2006/relationships/hyperlink" Target="mailto:angela.rosa@utoronto.ca" TargetMode="External"/><Relationship Id="rId108" Type="http://schemas.openxmlformats.org/officeDocument/2006/relationships/hyperlink" Target="mailto:katrina.soh@utoronto.ca" TargetMode="External"/><Relationship Id="rId315" Type="http://schemas.openxmlformats.org/officeDocument/2006/relationships/hyperlink" Target="mailto:gary.bader@utoronto.ca" TargetMode="External"/><Relationship Id="rId357" Type="http://schemas.openxmlformats.org/officeDocument/2006/relationships/hyperlink" Target="mailto:s.macparland@utoronto.ca" TargetMode="External"/><Relationship Id="rId54" Type="http://schemas.openxmlformats.org/officeDocument/2006/relationships/hyperlink" Target="mailto:arlene.smith@utoronto.ca" TargetMode="External"/><Relationship Id="rId96" Type="http://schemas.openxmlformats.org/officeDocument/2006/relationships/hyperlink" Target="mailto:nancy.calabrese@utoronto.ca" TargetMode="External"/><Relationship Id="rId161" Type="http://schemas.openxmlformats.org/officeDocument/2006/relationships/hyperlink" Target="mailto:elisabete@mie.utoronto.ca" TargetMode="External"/><Relationship Id="rId217" Type="http://schemas.openxmlformats.org/officeDocument/2006/relationships/hyperlink" Target="mailto:katrina.soh@utoronto.ca" TargetMode="External"/><Relationship Id="rId259" Type="http://schemas.openxmlformats.org/officeDocument/2006/relationships/hyperlink" Target="mailto:gary.bader@utoronto.ca" TargetMode="External"/><Relationship Id="rId23" Type="http://schemas.openxmlformats.org/officeDocument/2006/relationships/hyperlink" Target="mailto:merle.casci@utoronto.ca" TargetMode="External"/><Relationship Id="rId119" Type="http://schemas.openxmlformats.org/officeDocument/2006/relationships/hyperlink" Target="mailto:paula.smellie@utoronto.ca;" TargetMode="External"/><Relationship Id="rId270" Type="http://schemas.openxmlformats.org/officeDocument/2006/relationships/hyperlink" Target="mailto:lisaj@physics.utoronto.ca" TargetMode="External"/><Relationship Id="rId326" Type="http://schemas.openxmlformats.org/officeDocument/2006/relationships/hyperlink" Target="mailto:shinichiro.ogawa@uhnresearch.ca" TargetMode="External"/><Relationship Id="rId65" Type="http://schemas.openxmlformats.org/officeDocument/2006/relationships/hyperlink" Target="mailto:katrina.soh@utoronto.ca" TargetMode="External"/><Relationship Id="rId130" Type="http://schemas.openxmlformats.org/officeDocument/2006/relationships/hyperlink" Target="mailto:katrina.soh@utoronto.ca" TargetMode="External"/><Relationship Id="rId368" Type="http://schemas.openxmlformats.org/officeDocument/2006/relationships/hyperlink" Target="mailto:arlene.smith@utoronto.ca" TargetMode="External"/><Relationship Id="rId172" Type="http://schemas.openxmlformats.org/officeDocument/2006/relationships/hyperlink" Target="mailto:keith.pardee@utoronto.ca" TargetMode="External"/><Relationship Id="rId228" Type="http://schemas.openxmlformats.org/officeDocument/2006/relationships/hyperlink" Target="mailto:aaron.wheeler@utoronto.ca" TargetMode="External"/><Relationship Id="rId281" Type="http://schemas.openxmlformats.org/officeDocument/2006/relationships/hyperlink" Target="mailto:arlene.smith@utoronto.ca" TargetMode="External"/><Relationship Id="rId337" Type="http://schemas.openxmlformats.org/officeDocument/2006/relationships/hyperlink" Target="mailto:angelika.kocan@utoronto.ca" TargetMode="External"/><Relationship Id="rId34" Type="http://schemas.openxmlformats.org/officeDocument/2006/relationships/hyperlink" Target="mailto:katrina.soh@utoronto.ca" TargetMode="External"/><Relationship Id="rId76" Type="http://schemas.openxmlformats.org/officeDocument/2006/relationships/hyperlink" Target="mailto:angela.rosa@utoronto.ca" TargetMode="External"/><Relationship Id="rId141" Type="http://schemas.openxmlformats.org/officeDocument/2006/relationships/hyperlink" Target="mailto:Ivan.Cheng@utoronto.ca" TargetMode="External"/><Relationship Id="rId7" Type="http://schemas.openxmlformats.org/officeDocument/2006/relationships/hyperlink" Target="mailto:katrina.soh@utoronto.ca" TargetMode="External"/><Relationship Id="rId183" Type="http://schemas.openxmlformats.org/officeDocument/2006/relationships/hyperlink" Target="mailto:immunology.office@utoronto.ca" TargetMode="External"/><Relationship Id="rId239" Type="http://schemas.openxmlformats.org/officeDocument/2006/relationships/hyperlink" Target="mailto:merle.casci@utoronto.ca" TargetMode="External"/><Relationship Id="rId250" Type="http://schemas.openxmlformats.org/officeDocument/2006/relationships/hyperlink" Target="mailto:stevenmc.chan@utoronto.ca" TargetMode="External"/><Relationship Id="rId292" Type="http://schemas.openxmlformats.org/officeDocument/2006/relationships/hyperlink" Target="mailto:apwong@sickkids.ca" TargetMode="External"/><Relationship Id="rId306" Type="http://schemas.openxmlformats.org/officeDocument/2006/relationships/hyperlink" Target="mailto:anatomy@utoronto.ca" TargetMode="External"/><Relationship Id="rId45" Type="http://schemas.openxmlformats.org/officeDocument/2006/relationships/hyperlink" Target="mailto:katrina.soh@utoronto.ca" TargetMode="External"/><Relationship Id="rId87" Type="http://schemas.openxmlformats.org/officeDocument/2006/relationships/hyperlink" Target="mailto:immunology.office@utoronto.ca" TargetMode="External"/><Relationship Id="rId110" Type="http://schemas.openxmlformats.org/officeDocument/2006/relationships/hyperlink" Target="mailto:nancy.calabrese@utoronto.ca" TargetMode="External"/><Relationship Id="rId348" Type="http://schemas.openxmlformats.org/officeDocument/2006/relationships/hyperlink" Target="mailto:lynette.anderson@utoronto.ca" TargetMode="External"/><Relationship Id="rId152" Type="http://schemas.openxmlformats.org/officeDocument/2006/relationships/hyperlink" Target="mailto:patrick.gunning@utoronto.ca" TargetMode="External"/><Relationship Id="rId194" Type="http://schemas.openxmlformats.org/officeDocument/2006/relationships/hyperlink" Target="mailto:nancy.calabrese@utoronto.ca" TargetMode="External"/><Relationship Id="rId208" Type="http://schemas.openxmlformats.org/officeDocument/2006/relationships/hyperlink" Target="mailto:konstantin@mie.utoronto.ca" TargetMode="External"/><Relationship Id="rId261" Type="http://schemas.openxmlformats.org/officeDocument/2006/relationships/hyperlink" Target="mailto:angelika.kocan@utoronto.ca" TargetMode="External"/><Relationship Id="rId14" Type="http://schemas.openxmlformats.org/officeDocument/2006/relationships/hyperlink" Target="mailto:angela.rosa@utoronto.ca" TargetMode="External"/><Relationship Id="rId56" Type="http://schemas.openxmlformats.org/officeDocument/2006/relationships/hyperlink" Target="mailto:angela.rosa@utoronto.ca" TargetMode="External"/><Relationship Id="rId317" Type="http://schemas.openxmlformats.org/officeDocument/2006/relationships/hyperlink" Target="mailto:sagi.abelson@utoronto.ca" TargetMode="External"/><Relationship Id="rId359" Type="http://schemas.openxmlformats.org/officeDocument/2006/relationships/hyperlink" Target="mailto:anatomy@utoronto.ca" TargetMode="External"/><Relationship Id="rId98" Type="http://schemas.openxmlformats.org/officeDocument/2006/relationships/hyperlink" Target="mailto:nancy.calabrese@utoronto.ca" TargetMode="External"/><Relationship Id="rId121" Type="http://schemas.openxmlformats.org/officeDocument/2006/relationships/hyperlink" Target="mailto:paula.smellie@utoronto.ca;" TargetMode="External"/><Relationship Id="rId163" Type="http://schemas.openxmlformats.org/officeDocument/2006/relationships/hyperlink" Target="mailto:Ivan.Cheng@utoronto.ca" TargetMode="External"/><Relationship Id="rId219" Type="http://schemas.openxmlformats.org/officeDocument/2006/relationships/hyperlink" Target="mailto:arlene.smith@utoronto.ca" TargetMode="External"/><Relationship Id="rId370" Type="http://schemas.openxmlformats.org/officeDocument/2006/relationships/table" Target="../tables/table4.xml"/><Relationship Id="rId230" Type="http://schemas.openxmlformats.org/officeDocument/2006/relationships/hyperlink" Target="mailto:angela.rosa@utoronto.ca" TargetMode="External"/><Relationship Id="rId25" Type="http://schemas.openxmlformats.org/officeDocument/2006/relationships/hyperlink" Target="mailto:katrina.soh@utoronto.ca" TargetMode="External"/><Relationship Id="rId67" Type="http://schemas.openxmlformats.org/officeDocument/2006/relationships/hyperlink" Target="mailto:angela.rosa@utoronto.ca" TargetMode="External"/><Relationship Id="rId272" Type="http://schemas.openxmlformats.org/officeDocument/2006/relationships/hyperlink" Target="mailto:paula.smellie@utoronto.ca" TargetMode="External"/><Relationship Id="rId328" Type="http://schemas.openxmlformats.org/officeDocument/2006/relationships/hyperlink" Target="mailto:christine.kreutzer@utoronto.ca" TargetMode="External"/><Relationship Id="rId132" Type="http://schemas.openxmlformats.org/officeDocument/2006/relationships/hyperlink" Target="mailto:angela.rosa@utoronto.ca" TargetMode="External"/><Relationship Id="rId174" Type="http://schemas.openxmlformats.org/officeDocument/2006/relationships/hyperlink" Target="mailto:penney.gilbert@utoronto.ca" TargetMode="External"/><Relationship Id="rId241" Type="http://schemas.openxmlformats.org/officeDocument/2006/relationships/hyperlink" Target="mailto:paula.smellie@utoronto.ca;" TargetMode="External"/><Relationship Id="rId15" Type="http://schemas.openxmlformats.org/officeDocument/2006/relationships/hyperlink" Target="mailto:katrina.soh@utoronto.ca" TargetMode="External"/><Relationship Id="rId36" Type="http://schemas.openxmlformats.org/officeDocument/2006/relationships/hyperlink" Target="mailto:elizabeth.sutherland@utoronto.ca" TargetMode="External"/><Relationship Id="rId57" Type="http://schemas.openxmlformats.org/officeDocument/2006/relationships/hyperlink" Target="mailto:katrina.soh@utoronto.ca" TargetMode="External"/><Relationship Id="rId262" Type="http://schemas.openxmlformats.org/officeDocument/2006/relationships/hyperlink" Target="mailto:angelika.kocan@utoronto.ca" TargetMode="External"/><Relationship Id="rId283" Type="http://schemas.openxmlformats.org/officeDocument/2006/relationships/hyperlink" Target="mailto:sevan.hopyan@sickkids.ca" TargetMode="External"/><Relationship Id="rId318" Type="http://schemas.openxmlformats.org/officeDocument/2006/relationships/hyperlink" Target="mailto:katrina.soh@utoronto.ca" TargetMode="External"/><Relationship Id="rId339" Type="http://schemas.openxmlformats.org/officeDocument/2006/relationships/hyperlink" Target="mailto:awoolley@chem.utoronto.ca" TargetMode="External"/><Relationship Id="rId78" Type="http://schemas.openxmlformats.org/officeDocument/2006/relationships/hyperlink" Target="mailto:angela.rosa@utoronto.ca" TargetMode="External"/><Relationship Id="rId99" Type="http://schemas.openxmlformats.org/officeDocument/2006/relationships/hyperlink" Target="mailto:nancy.calabrese@utoronto.ca" TargetMode="External"/><Relationship Id="rId101" Type="http://schemas.openxmlformats.org/officeDocument/2006/relationships/hyperlink" Target="mailto:angela.rosa@utoronto.ca" TargetMode="External"/><Relationship Id="rId122" Type="http://schemas.openxmlformats.org/officeDocument/2006/relationships/hyperlink" Target="mailto:paula.smellie@utoronto.ca" TargetMode="External"/><Relationship Id="rId143" Type="http://schemas.openxmlformats.org/officeDocument/2006/relationships/hyperlink" Target="mailto:merle.casci@utoronto.ca" TargetMode="External"/><Relationship Id="rId164" Type="http://schemas.openxmlformats.org/officeDocument/2006/relationships/hyperlink" Target="mailto:katrina.soh@utoronto.ca" TargetMode="External"/><Relationship Id="rId185" Type="http://schemas.openxmlformats.org/officeDocument/2006/relationships/hyperlink" Target="mailto:sevan.hopyan@sickkids.ca" TargetMode="External"/><Relationship Id="rId350" Type="http://schemas.openxmlformats.org/officeDocument/2006/relationships/hyperlink" Target="mailto:christine.kreutzer@utoronto.ca" TargetMode="External"/><Relationship Id="rId9" Type="http://schemas.openxmlformats.org/officeDocument/2006/relationships/hyperlink" Target="mailto:elizabeth.den.hartog@utoronto.ca" TargetMode="External"/><Relationship Id="rId210" Type="http://schemas.openxmlformats.org/officeDocument/2006/relationships/hyperlink" Target="mailto:Ivan.Cheng@utoronto.ca" TargetMode="External"/><Relationship Id="rId26" Type="http://schemas.openxmlformats.org/officeDocument/2006/relationships/hyperlink" Target="mailto:christine.kreutzer@utoronto.ca" TargetMode="External"/><Relationship Id="rId231" Type="http://schemas.openxmlformats.org/officeDocument/2006/relationships/hyperlink" Target="mailto:lynette.anderson@utoronto.ca" TargetMode="External"/><Relationship Id="rId252" Type="http://schemas.openxmlformats.org/officeDocument/2006/relationships/hyperlink" Target="mailto:nancy.calabrese@utoronto.ca" TargetMode="External"/><Relationship Id="rId273" Type="http://schemas.openxmlformats.org/officeDocument/2006/relationships/hyperlink" Target="mailto:nelson.cabral@utoronto.ca" TargetMode="External"/><Relationship Id="rId294" Type="http://schemas.openxmlformats.org/officeDocument/2006/relationships/hyperlink" Target="mailto:angela.rosa@utoronto.ca" TargetMode="External"/><Relationship Id="rId308" Type="http://schemas.openxmlformats.org/officeDocument/2006/relationships/hyperlink" Target="mailto:myron.cybulsky@utoronto.ca" TargetMode="External"/><Relationship Id="rId329" Type="http://schemas.openxmlformats.org/officeDocument/2006/relationships/hyperlink" Target="mailto:paula.smellie@utoronto.ca" TargetMode="External"/><Relationship Id="rId47" Type="http://schemas.openxmlformats.org/officeDocument/2006/relationships/hyperlink" Target="mailto:merle.casci@utoronto.ca" TargetMode="External"/><Relationship Id="rId68" Type="http://schemas.openxmlformats.org/officeDocument/2006/relationships/hyperlink" Target="mailto:v.tropepe@utoronto.ca" TargetMode="External"/><Relationship Id="rId89" Type="http://schemas.openxmlformats.org/officeDocument/2006/relationships/hyperlink" Target="mailto:immunology.office@utoronto.ca" TargetMode="External"/><Relationship Id="rId112" Type="http://schemas.openxmlformats.org/officeDocument/2006/relationships/hyperlink" Target="mailto:lynette.anderson@utoronto.ca" TargetMode="External"/><Relationship Id="rId133" Type="http://schemas.openxmlformats.org/officeDocument/2006/relationships/hyperlink" Target="mailto:Ivan.Cheng@utoronto.ca" TargetMode="External"/><Relationship Id="rId154" Type="http://schemas.openxmlformats.org/officeDocument/2006/relationships/hyperlink" Target="mailto:nir.lipsman@utoronto.ca" TargetMode="External"/><Relationship Id="rId175" Type="http://schemas.openxmlformats.org/officeDocument/2006/relationships/hyperlink" Target="mailto:cindi.morshead@utoronto.ca" TargetMode="External"/><Relationship Id="rId340" Type="http://schemas.openxmlformats.org/officeDocument/2006/relationships/hyperlink" Target="mailto:djob@chem.utoronto.ca" TargetMode="External"/><Relationship Id="rId361" Type="http://schemas.openxmlformats.org/officeDocument/2006/relationships/hyperlink" Target="mailto:nancy.calabrese@utoronto.ca" TargetMode="External"/><Relationship Id="rId196" Type="http://schemas.openxmlformats.org/officeDocument/2006/relationships/hyperlink" Target="mailto:finance.phm@utoronto.ca" TargetMode="External"/><Relationship Id="rId200" Type="http://schemas.openxmlformats.org/officeDocument/2006/relationships/hyperlink" Target="mailto:schoellig@utias.utoronto.ca" TargetMode="External"/><Relationship Id="rId16" Type="http://schemas.openxmlformats.org/officeDocument/2006/relationships/hyperlink" Target="mailto:lisaj@physics.utoronto.ca" TargetMode="External"/><Relationship Id="rId221" Type="http://schemas.openxmlformats.org/officeDocument/2006/relationships/hyperlink" Target="mailto:keith.pardee@utoronto.ca" TargetMode="External"/><Relationship Id="rId242" Type="http://schemas.openxmlformats.org/officeDocument/2006/relationships/hyperlink" Target="mailto:nancy.calabrese@utoronto.ca" TargetMode="External"/><Relationship Id="rId263" Type="http://schemas.openxmlformats.org/officeDocument/2006/relationships/hyperlink" Target="mailto:angelika.kocan@utoronto.ca" TargetMode="External"/><Relationship Id="rId284" Type="http://schemas.openxmlformats.org/officeDocument/2006/relationships/hyperlink" Target="mailto:katrina.soh@utoronto.ca" TargetMode="External"/><Relationship Id="rId319" Type="http://schemas.openxmlformats.org/officeDocument/2006/relationships/hyperlink" Target="mailto:michael.garton@utoronto.ca" TargetMode="External"/><Relationship Id="rId37" Type="http://schemas.openxmlformats.org/officeDocument/2006/relationships/hyperlink" Target="mailto:nelson.cabral@utoronto.ca" TargetMode="External"/><Relationship Id="rId58" Type="http://schemas.openxmlformats.org/officeDocument/2006/relationships/hyperlink" Target="mailto:katrina.soh@utoronto.ca" TargetMode="External"/><Relationship Id="rId79" Type="http://schemas.openxmlformats.org/officeDocument/2006/relationships/hyperlink" Target="mailto:angela.rosa@utoronto.ca" TargetMode="External"/><Relationship Id="rId102" Type="http://schemas.openxmlformats.org/officeDocument/2006/relationships/hyperlink" Target="mailto:angela.rosa@utoronto.ca" TargetMode="External"/><Relationship Id="rId123" Type="http://schemas.openxmlformats.org/officeDocument/2006/relationships/hyperlink" Target="mailto:paula.smellie@utoronto.ca" TargetMode="External"/><Relationship Id="rId144" Type="http://schemas.openxmlformats.org/officeDocument/2006/relationships/hyperlink" Target="mailto:anna.capizzano@sickkids.ca," TargetMode="External"/><Relationship Id="rId330" Type="http://schemas.openxmlformats.org/officeDocument/2006/relationships/hyperlink" Target="mailto:CHAO.WANG@SRI.UTORONTO.CA" TargetMode="External"/><Relationship Id="rId90" Type="http://schemas.openxmlformats.org/officeDocument/2006/relationships/hyperlink" Target="mailto:immunology.office@utoronto.ca" TargetMode="External"/><Relationship Id="rId165" Type="http://schemas.openxmlformats.org/officeDocument/2006/relationships/hyperlink" Target="mailto:angela.rosa@utoronto.ca" TargetMode="External"/><Relationship Id="rId186" Type="http://schemas.openxmlformats.org/officeDocument/2006/relationships/hyperlink" Target="mailto:nancy.calabrese@utoronto.ca" TargetMode="External"/><Relationship Id="rId351" Type="http://schemas.openxmlformats.org/officeDocument/2006/relationships/hyperlink" Target="mailto:michael.fehlings@uhn.ca" TargetMode="External"/><Relationship Id="rId211" Type="http://schemas.openxmlformats.org/officeDocument/2006/relationships/hyperlink" Target="mailto:elisabete@mie.utoronto.ca" TargetMode="External"/><Relationship Id="rId232" Type="http://schemas.openxmlformats.org/officeDocument/2006/relationships/hyperlink" Target="mailto:merle.casci@utoronto.ca" TargetMode="External"/><Relationship Id="rId253" Type="http://schemas.openxmlformats.org/officeDocument/2006/relationships/hyperlink" Target="mailto:jdick@uhnresearch.ca" TargetMode="External"/><Relationship Id="rId274" Type="http://schemas.openxmlformats.org/officeDocument/2006/relationships/hyperlink" Target="mailto:immunology.office@utoronto.ca" TargetMode="External"/><Relationship Id="rId295" Type="http://schemas.openxmlformats.org/officeDocument/2006/relationships/hyperlink" Target="mailto:julie.lefebvre@sickkids.ca" TargetMode="External"/><Relationship Id="rId309" Type="http://schemas.openxmlformats.org/officeDocument/2006/relationships/hyperlink" Target="mailto:bebhinn.treanor@utoronto.ca" TargetMode="External"/><Relationship Id="rId27" Type="http://schemas.openxmlformats.org/officeDocument/2006/relationships/hyperlink" Target="mailto:merle.casci@utoronto.ca" TargetMode="External"/><Relationship Id="rId48" Type="http://schemas.openxmlformats.org/officeDocument/2006/relationships/hyperlink" Target="mailto:merle.casci@utoronto.ca" TargetMode="External"/><Relationship Id="rId69" Type="http://schemas.openxmlformats.org/officeDocument/2006/relationships/hyperlink" Target="mailto:john.calarco@utoronto.ca" TargetMode="External"/><Relationship Id="rId113" Type="http://schemas.openxmlformats.org/officeDocument/2006/relationships/hyperlink" Target="mailto:anna.capizzano@sickkids.ca," TargetMode="External"/><Relationship Id="rId134" Type="http://schemas.openxmlformats.org/officeDocument/2006/relationships/hyperlink" Target="mailto:Ivan.Cheng@utoronto.ca" TargetMode="External"/><Relationship Id="rId320" Type="http://schemas.openxmlformats.org/officeDocument/2006/relationships/hyperlink" Target="mailto:angela.rosa@utoronto.ca" TargetMode="External"/><Relationship Id="rId80" Type="http://schemas.openxmlformats.org/officeDocument/2006/relationships/hyperlink" Target="mailto:katrina.soh@utoronto.ca" TargetMode="External"/><Relationship Id="rId155" Type="http://schemas.openxmlformats.org/officeDocument/2006/relationships/hyperlink" Target="mailto:jan.robertson@utoronto.ca" TargetMode="External"/><Relationship Id="rId176" Type="http://schemas.openxmlformats.org/officeDocument/2006/relationships/hyperlink" Target="mailto:mikko.taipale@utoronto.ca" TargetMode="External"/><Relationship Id="rId197" Type="http://schemas.openxmlformats.org/officeDocument/2006/relationships/hyperlink" Target="mailto:finance.phm@utoronto.ca" TargetMode="External"/><Relationship Id="rId341" Type="http://schemas.openxmlformats.org/officeDocument/2006/relationships/hyperlink" Target="mailto:leo.chou@utoronto.ca" TargetMode="External"/><Relationship Id="rId362" Type="http://schemas.openxmlformats.org/officeDocument/2006/relationships/hyperlink" Target="mailto:jessica.bailey@utoronto.ca" TargetMode="External"/><Relationship Id="rId201" Type="http://schemas.openxmlformats.org/officeDocument/2006/relationships/hyperlink" Target="mailto:leo.chou@utoronto.ca" TargetMode="External"/><Relationship Id="rId222" Type="http://schemas.openxmlformats.org/officeDocument/2006/relationships/hyperlink" Target="mailto:nancy.calabrese@utoronto.ca" TargetMode="External"/><Relationship Id="rId243" Type="http://schemas.openxmlformats.org/officeDocument/2006/relationships/hyperlink" Target="mailto:katrina.soh@utoronto.ca" TargetMode="External"/><Relationship Id="rId264" Type="http://schemas.openxmlformats.org/officeDocument/2006/relationships/hyperlink" Target="mailto:angelika.kocan@utoronto.ca" TargetMode="External"/><Relationship Id="rId285" Type="http://schemas.openxmlformats.org/officeDocument/2006/relationships/hyperlink" Target="mailto:agostino.pierro@sickkids.ca" TargetMode="External"/><Relationship Id="rId17" Type="http://schemas.openxmlformats.org/officeDocument/2006/relationships/hyperlink" Target="mailto:merle.casci@utoronto.ca" TargetMode="External"/><Relationship Id="rId38" Type="http://schemas.openxmlformats.org/officeDocument/2006/relationships/hyperlink" Target="mailto:nelson.cabral@utoronto.ca" TargetMode="External"/><Relationship Id="rId59" Type="http://schemas.openxmlformats.org/officeDocument/2006/relationships/hyperlink" Target="mailto:katrina.soh@utoronto.ca" TargetMode="External"/><Relationship Id="rId103" Type="http://schemas.openxmlformats.org/officeDocument/2006/relationships/hyperlink" Target="mailto:katrina.soh@utoronto.ca" TargetMode="External"/><Relationship Id="rId124" Type="http://schemas.openxmlformats.org/officeDocument/2006/relationships/hyperlink" Target="mailto:elizabeth.den.hartog@utoronto.ca" TargetMode="External"/><Relationship Id="rId310" Type="http://schemas.openxmlformats.org/officeDocument/2006/relationships/hyperlink" Target="mailto:michael.garton@utoronto.ca" TargetMode="External"/><Relationship Id="rId70" Type="http://schemas.openxmlformats.org/officeDocument/2006/relationships/hyperlink" Target="mailto:katrina.soh@utoronto.ca" TargetMode="External"/><Relationship Id="rId91" Type="http://schemas.openxmlformats.org/officeDocument/2006/relationships/hyperlink" Target="mailto:nancy.calabrese@utoronto.ca" TargetMode="External"/><Relationship Id="rId145" Type="http://schemas.openxmlformats.org/officeDocument/2006/relationships/hyperlink" Target="mailto:ravinder.dhillon@utoronto.ca" TargetMode="External"/><Relationship Id="rId166" Type="http://schemas.openxmlformats.org/officeDocument/2006/relationships/hyperlink" Target="mailto:leo.chou@utoronto.ca" TargetMode="External"/><Relationship Id="rId187" Type="http://schemas.openxmlformats.org/officeDocument/2006/relationships/hyperlink" Target="mailto:katrina.soh@utoronto.ca" TargetMode="External"/><Relationship Id="rId331" Type="http://schemas.openxmlformats.org/officeDocument/2006/relationships/hyperlink" Target="mailto:finance.phm@utoronto.ca" TargetMode="External"/><Relationship Id="rId352" Type="http://schemas.openxmlformats.org/officeDocument/2006/relationships/hyperlink" Target="mailto:nancy.calabrese@utoronto.ca" TargetMode="External"/><Relationship Id="rId1" Type="http://schemas.openxmlformats.org/officeDocument/2006/relationships/hyperlink" Target="mailto:elisabete@mie.utoronto.ca" TargetMode="External"/><Relationship Id="rId212" Type="http://schemas.openxmlformats.org/officeDocument/2006/relationships/hyperlink" Target="mailto:angela.rosa@utoronto.ca" TargetMode="External"/><Relationship Id="rId233" Type="http://schemas.openxmlformats.org/officeDocument/2006/relationships/hyperlink" Target="mailto:nancy.calabrese@utoronto.ca" TargetMode="External"/><Relationship Id="rId254" Type="http://schemas.openxmlformats.org/officeDocument/2006/relationships/hyperlink" Target="mailto:katrina.soh@utoronto.ca" TargetMode="External"/><Relationship Id="rId28" Type="http://schemas.openxmlformats.org/officeDocument/2006/relationships/hyperlink" Target="mailto:christine.kreutzer@utoronto.ca" TargetMode="External"/><Relationship Id="rId49" Type="http://schemas.openxmlformats.org/officeDocument/2006/relationships/hyperlink" Target="mailto:christine.kreutzer@utoronto.ca" TargetMode="External"/><Relationship Id="rId114" Type="http://schemas.openxmlformats.org/officeDocument/2006/relationships/hyperlink" Target="mailto:anna.capizzano@sickkids.ca," TargetMode="External"/><Relationship Id="rId275" Type="http://schemas.openxmlformats.org/officeDocument/2006/relationships/hyperlink" Target="mailto:lynette.anderson@utoronto.ca" TargetMode="External"/><Relationship Id="rId296" Type="http://schemas.openxmlformats.org/officeDocument/2006/relationships/hyperlink" Target="mailto:lynette.anderson@utoronto.ca" TargetMode="External"/><Relationship Id="rId300" Type="http://schemas.openxmlformats.org/officeDocument/2006/relationships/hyperlink" Target="mailto:anna.capizzano@sickkids.ca," TargetMode="External"/><Relationship Id="rId60" Type="http://schemas.openxmlformats.org/officeDocument/2006/relationships/hyperlink" Target="mailto:katrina.soh@utoronto.ca" TargetMode="External"/><Relationship Id="rId81" Type="http://schemas.openxmlformats.org/officeDocument/2006/relationships/hyperlink" Target="mailto:djob@chem.utoronto.ca" TargetMode="External"/><Relationship Id="rId135" Type="http://schemas.openxmlformats.org/officeDocument/2006/relationships/hyperlink" Target="mailto:Ivan.Cheng@utoronto.ca" TargetMode="External"/><Relationship Id="rId156" Type="http://schemas.openxmlformats.org/officeDocument/2006/relationships/hyperlink" Target="mailto:john.calarco@utoronto.ca" TargetMode="External"/><Relationship Id="rId177" Type="http://schemas.openxmlformats.org/officeDocument/2006/relationships/hyperlink" Target="mailto:angela.rosa@utoronto.ca" TargetMode="External"/><Relationship Id="rId198" Type="http://schemas.openxmlformats.org/officeDocument/2006/relationships/hyperlink" Target="mailto:finance.phm@utoronto.ca" TargetMode="External"/><Relationship Id="rId321" Type="http://schemas.openxmlformats.org/officeDocument/2006/relationships/hyperlink" Target="mailto:Stephanie.Protze@uhnresearch.ca" TargetMode="External"/><Relationship Id="rId342" Type="http://schemas.openxmlformats.org/officeDocument/2006/relationships/hyperlink" Target="mailto:angela.rosa@utoronto.ca" TargetMode="External"/><Relationship Id="rId363" Type="http://schemas.openxmlformats.org/officeDocument/2006/relationships/hyperlink" Target="mailto:patrick.gunning@utoronto.ca" TargetMode="External"/><Relationship Id="rId202" Type="http://schemas.openxmlformats.org/officeDocument/2006/relationships/hyperlink" Target="mailto:angela.rosa@utoronto.ca" TargetMode="External"/><Relationship Id="rId223" Type="http://schemas.openxmlformats.org/officeDocument/2006/relationships/hyperlink" Target="mailto:lynette.anderson@utoronto.ca" TargetMode="External"/><Relationship Id="rId244" Type="http://schemas.openxmlformats.org/officeDocument/2006/relationships/hyperlink" Target="mailto:angela.rosa@utoronto.ca" TargetMode="External"/><Relationship Id="rId18" Type="http://schemas.openxmlformats.org/officeDocument/2006/relationships/hyperlink" Target="mailto:merle.casci@utoronto.ca" TargetMode="External"/><Relationship Id="rId39" Type="http://schemas.openxmlformats.org/officeDocument/2006/relationships/hyperlink" Target="mailto:nelson.cabral@utoronto.ca" TargetMode="External"/><Relationship Id="rId265" Type="http://schemas.openxmlformats.org/officeDocument/2006/relationships/hyperlink" Target="mailto:angelika.kocan@utoronto.ca" TargetMode="External"/><Relationship Id="rId286" Type="http://schemas.openxmlformats.org/officeDocument/2006/relationships/hyperlink" Target="mailto:nancy.calabrese@utoronto.ca" TargetMode="External"/><Relationship Id="rId50" Type="http://schemas.openxmlformats.org/officeDocument/2006/relationships/hyperlink" Target="mailto:katrina.soh@utoronto.ca" TargetMode="External"/><Relationship Id="rId104" Type="http://schemas.openxmlformats.org/officeDocument/2006/relationships/hyperlink" Target="mailto:merle.casci@utoronto.ca" TargetMode="External"/><Relationship Id="rId125" Type="http://schemas.openxmlformats.org/officeDocument/2006/relationships/hyperlink" Target="mailto:angela.rosa@utoronto.ca" TargetMode="External"/><Relationship Id="rId146" Type="http://schemas.openxmlformats.org/officeDocument/2006/relationships/hyperlink" Target="mailto:djob@chem.utoronto.ca" TargetMode="External"/><Relationship Id="rId167" Type="http://schemas.openxmlformats.org/officeDocument/2006/relationships/hyperlink" Target="mailto:angela.rosa@utoronto.ca" TargetMode="External"/><Relationship Id="rId188" Type="http://schemas.openxmlformats.org/officeDocument/2006/relationships/hyperlink" Target="mailto:arlene.smith@utoronto.ca" TargetMode="External"/><Relationship Id="rId311" Type="http://schemas.openxmlformats.org/officeDocument/2006/relationships/hyperlink" Target="mailto:angela.rosa@utoronto.ca" TargetMode="External"/><Relationship Id="rId332" Type="http://schemas.openxmlformats.org/officeDocument/2006/relationships/hyperlink" Target="mailto:hr.bme@utoronto.ca" TargetMode="External"/><Relationship Id="rId353" Type="http://schemas.openxmlformats.org/officeDocument/2006/relationships/hyperlink" Target="mailto:shinichiro.ogawa@uhnresearch.ca" TargetMode="External"/><Relationship Id="rId71" Type="http://schemas.openxmlformats.org/officeDocument/2006/relationships/hyperlink" Target="mailto:katrina.soh@utoronto.ca" TargetMode="External"/><Relationship Id="rId92" Type="http://schemas.openxmlformats.org/officeDocument/2006/relationships/hyperlink" Target="mailto:nancy.calabrese@utoronto.ca" TargetMode="External"/><Relationship Id="rId213" Type="http://schemas.openxmlformats.org/officeDocument/2006/relationships/hyperlink" Target="mailto:lisaj@physics.utoronto.ca" TargetMode="External"/><Relationship Id="rId234" Type="http://schemas.openxmlformats.org/officeDocument/2006/relationships/hyperlink" Target="mailto:arlene.smith@utoronto.ca" TargetMode="External"/><Relationship Id="rId2" Type="http://schemas.openxmlformats.org/officeDocument/2006/relationships/hyperlink" Target="mailto:lynette.anderson@utoronto.ca" TargetMode="External"/><Relationship Id="rId29" Type="http://schemas.openxmlformats.org/officeDocument/2006/relationships/hyperlink" Target="mailto:Immunology.Office@utoronto.ca" TargetMode="External"/><Relationship Id="rId255" Type="http://schemas.openxmlformats.org/officeDocument/2006/relationships/hyperlink" Target="mailto:Ivan.Cheng@utoronto.ca" TargetMode="External"/><Relationship Id="rId276" Type="http://schemas.openxmlformats.org/officeDocument/2006/relationships/hyperlink" Target="mailto:cristina.amon@utoronto.ca" TargetMode="External"/><Relationship Id="rId297" Type="http://schemas.openxmlformats.org/officeDocument/2006/relationships/hyperlink" Target="mailto:angela.rosa@utoronto.ca" TargetMode="External"/><Relationship Id="rId40" Type="http://schemas.openxmlformats.org/officeDocument/2006/relationships/hyperlink" Target="mailto:nelson.cabral@utoronto.ca" TargetMode="External"/><Relationship Id="rId115" Type="http://schemas.openxmlformats.org/officeDocument/2006/relationships/hyperlink" Target="mailto:katrina.soh@utoronto.ca" TargetMode="External"/><Relationship Id="rId136" Type="http://schemas.openxmlformats.org/officeDocument/2006/relationships/hyperlink" Target="mailto:Ivan.Cheng@utoronto.ca" TargetMode="External"/><Relationship Id="rId157" Type="http://schemas.openxmlformats.org/officeDocument/2006/relationships/hyperlink" Target="mailto:sarah.crome@uhnresearch.ca" TargetMode="External"/><Relationship Id="rId178" Type="http://schemas.openxmlformats.org/officeDocument/2006/relationships/hyperlink" Target="mailto:angela.rosa@utoronto.ca" TargetMode="External"/><Relationship Id="rId301" Type="http://schemas.openxmlformats.org/officeDocument/2006/relationships/hyperlink" Target="mailto:businessmanager.anesthesia@utoronto.ca" TargetMode="External"/><Relationship Id="rId322" Type="http://schemas.openxmlformats.org/officeDocument/2006/relationships/hyperlink" Target="mailto:katrina.soh@utoronto.ca" TargetMode="External"/><Relationship Id="rId343" Type="http://schemas.openxmlformats.org/officeDocument/2006/relationships/hyperlink" Target="mailto:nancy.calabrese@utoronto.ca" TargetMode="External"/><Relationship Id="rId364" Type="http://schemas.openxmlformats.org/officeDocument/2006/relationships/hyperlink" Target="mailto:keith.pardee@utoronto.ca" TargetMode="External"/><Relationship Id="rId61" Type="http://schemas.openxmlformats.org/officeDocument/2006/relationships/hyperlink" Target="mailto:elizabeth.den.hartog@utoronto.ca" TargetMode="External"/><Relationship Id="rId82" Type="http://schemas.openxmlformats.org/officeDocument/2006/relationships/hyperlink" Target="mailto:djob@chem.utoronto.ca" TargetMode="External"/><Relationship Id="rId199" Type="http://schemas.openxmlformats.org/officeDocument/2006/relationships/hyperlink" Target="mailto:angela.rosa@utoronto.ca" TargetMode="External"/><Relationship Id="rId203" Type="http://schemas.openxmlformats.org/officeDocument/2006/relationships/hyperlink" Target="mailto:angela.rosa@utoronto.ca" TargetMode="External"/><Relationship Id="rId19" Type="http://schemas.openxmlformats.org/officeDocument/2006/relationships/hyperlink" Target="mailto:merle.casci@utoronto.ca" TargetMode="External"/><Relationship Id="rId224" Type="http://schemas.openxmlformats.org/officeDocument/2006/relationships/hyperlink" Target="mailto:arlene.smith@utoronto.ca" TargetMode="External"/><Relationship Id="rId245" Type="http://schemas.openxmlformats.org/officeDocument/2006/relationships/hyperlink" Target="mailto:elisabete@mie.utoronto.ca" TargetMode="External"/><Relationship Id="rId266" Type="http://schemas.openxmlformats.org/officeDocument/2006/relationships/hyperlink" Target="mailto:angelika.kocan@utoronto.ca" TargetMode="External"/><Relationship Id="rId287" Type="http://schemas.openxmlformats.org/officeDocument/2006/relationships/hyperlink" Target="mailto:philip.sherman@sickkids.ca" TargetMode="External"/><Relationship Id="rId30" Type="http://schemas.openxmlformats.org/officeDocument/2006/relationships/hyperlink" Target="mailto:arlene.smith@utoronto.ca" TargetMode="External"/><Relationship Id="rId105" Type="http://schemas.openxmlformats.org/officeDocument/2006/relationships/hyperlink" Target="mailto:merle.casci@utoronto.ca" TargetMode="External"/><Relationship Id="rId126" Type="http://schemas.openxmlformats.org/officeDocument/2006/relationships/hyperlink" Target="mailto:nelson.cabral@utoronto.ca" TargetMode="External"/><Relationship Id="rId147" Type="http://schemas.openxmlformats.org/officeDocument/2006/relationships/hyperlink" Target="mailto:elizabeth.sutherland@utoronto.ca" TargetMode="External"/><Relationship Id="rId168" Type="http://schemas.openxmlformats.org/officeDocument/2006/relationships/hyperlink" Target="mailto:Stephanie.Protze@uhnresearch.ca" TargetMode="External"/><Relationship Id="rId312" Type="http://schemas.openxmlformats.org/officeDocument/2006/relationships/hyperlink" Target="mailto:nelson.cabral@utoronto.ca" TargetMode="External"/><Relationship Id="rId333" Type="http://schemas.openxmlformats.org/officeDocument/2006/relationships/hyperlink" Target="mailto:hr.bme@utoronto.ca" TargetMode="External"/><Relationship Id="rId354" Type="http://schemas.openxmlformats.org/officeDocument/2006/relationships/hyperlink" Target="mailto:christine.kreutzer@utoronto.ca" TargetMode="External"/><Relationship Id="rId51" Type="http://schemas.openxmlformats.org/officeDocument/2006/relationships/hyperlink" Target="mailto:angela.rosa@utoronto.ca" TargetMode="External"/><Relationship Id="rId72" Type="http://schemas.openxmlformats.org/officeDocument/2006/relationships/hyperlink" Target="mailto:aaron.wheeler@utoronto.ca" TargetMode="External"/><Relationship Id="rId93" Type="http://schemas.openxmlformats.org/officeDocument/2006/relationships/hyperlink" Target="mailto:nancy.calabrese@utoronto.ca" TargetMode="External"/><Relationship Id="rId189" Type="http://schemas.openxmlformats.org/officeDocument/2006/relationships/hyperlink" Target="mailto:keith.pardee@utoronto.ca" TargetMode="External"/><Relationship Id="rId3" Type="http://schemas.openxmlformats.org/officeDocument/2006/relationships/hyperlink" Target="mailto:paula.smellie@utoronto.ca" TargetMode="External"/><Relationship Id="rId214" Type="http://schemas.openxmlformats.org/officeDocument/2006/relationships/hyperlink" Target="mailto:lynette.anderson@utoronto.ca" TargetMode="External"/><Relationship Id="rId235" Type="http://schemas.openxmlformats.org/officeDocument/2006/relationships/hyperlink" Target="mailto:paula.smellie@utoronto.ca" TargetMode="External"/><Relationship Id="rId256" Type="http://schemas.openxmlformats.org/officeDocument/2006/relationships/hyperlink" Target="mailto:nancy.calabrese@utoronto.ca" TargetMode="External"/><Relationship Id="rId277" Type="http://schemas.openxmlformats.org/officeDocument/2006/relationships/hyperlink" Target="mailto:christine.kreutzer@utoronto.ca" TargetMode="External"/><Relationship Id="rId298" Type="http://schemas.openxmlformats.org/officeDocument/2006/relationships/hyperlink" Target="mailto:jason.maynes@sickkids.ca" TargetMode="External"/><Relationship Id="rId116" Type="http://schemas.openxmlformats.org/officeDocument/2006/relationships/hyperlink" Target="mailto:lynette.anderson@utoronto.ca" TargetMode="External"/><Relationship Id="rId137" Type="http://schemas.openxmlformats.org/officeDocument/2006/relationships/hyperlink" Target="mailto:lynette.anderson@utoronto.ca" TargetMode="External"/><Relationship Id="rId158" Type="http://schemas.openxmlformats.org/officeDocument/2006/relationships/hyperlink" Target="mailto:immunology.office@utoronto.ca" TargetMode="External"/><Relationship Id="rId302" Type="http://schemas.openxmlformats.org/officeDocument/2006/relationships/hyperlink" Target="mailto:angela.rosa@utoronto.ca" TargetMode="External"/><Relationship Id="rId323" Type="http://schemas.openxmlformats.org/officeDocument/2006/relationships/hyperlink" Target="mailto:christine.kreutzer@utoronto.ca" TargetMode="External"/><Relationship Id="rId344" Type="http://schemas.openxmlformats.org/officeDocument/2006/relationships/hyperlink" Target="mailto:sevan.hopyan@sickkids.ca" TargetMode="External"/><Relationship Id="rId20" Type="http://schemas.openxmlformats.org/officeDocument/2006/relationships/hyperlink" Target="mailto:merle.casci@utoronto.ca" TargetMode="External"/><Relationship Id="rId41" Type="http://schemas.openxmlformats.org/officeDocument/2006/relationships/hyperlink" Target="mailto:paula.smellie@utoronto.ca" TargetMode="External"/><Relationship Id="rId62" Type="http://schemas.openxmlformats.org/officeDocument/2006/relationships/hyperlink" Target="mailto:djob@chem.utoronto.ca" TargetMode="External"/><Relationship Id="rId83" Type="http://schemas.openxmlformats.org/officeDocument/2006/relationships/hyperlink" Target="mailto:djob@chem.utoronto.ca" TargetMode="External"/><Relationship Id="rId179" Type="http://schemas.openxmlformats.org/officeDocument/2006/relationships/hyperlink" Target="mailto:paula.smellie@utoronto.ca;" TargetMode="External"/><Relationship Id="rId365" Type="http://schemas.openxmlformats.org/officeDocument/2006/relationships/hyperlink" Target="mailto:mrsantos@lunenfeld.ca" TargetMode="External"/><Relationship Id="rId190" Type="http://schemas.openxmlformats.org/officeDocument/2006/relationships/hyperlink" Target="mailto:katrina.soh@utoronto.ca" TargetMode="External"/><Relationship Id="rId204" Type="http://schemas.openxmlformats.org/officeDocument/2006/relationships/hyperlink" Target="mailto:robert.hamilton@sickkids.ca" TargetMode="External"/><Relationship Id="rId225" Type="http://schemas.openxmlformats.org/officeDocument/2006/relationships/hyperlink" Target="mailto:sachdev.sidhu@utoronto.ca" TargetMode="External"/><Relationship Id="rId246" Type="http://schemas.openxmlformats.org/officeDocument/2006/relationships/hyperlink" Target="mailto:katrina.soh@utoronto.ca" TargetMode="External"/><Relationship Id="rId267" Type="http://schemas.openxmlformats.org/officeDocument/2006/relationships/hyperlink" Target="mailto:angelika.kocan@utoronto.ca" TargetMode="External"/><Relationship Id="rId288" Type="http://schemas.openxmlformats.org/officeDocument/2006/relationships/hyperlink" Target="mailto:hyunokate.lee@utoronto.ca" TargetMode="External"/><Relationship Id="rId106" Type="http://schemas.openxmlformats.org/officeDocument/2006/relationships/hyperlink" Target="mailto:katrina.soh@utoronto.ca" TargetMode="External"/><Relationship Id="rId127" Type="http://schemas.openxmlformats.org/officeDocument/2006/relationships/hyperlink" Target="mailto:elizabeth.sutherland@utoronto.ca" TargetMode="External"/><Relationship Id="rId313" Type="http://schemas.openxmlformats.org/officeDocument/2006/relationships/hyperlink" Target="mailto:kristin.alexander@utoronto.ca" TargetMode="External"/><Relationship Id="rId10" Type="http://schemas.openxmlformats.org/officeDocument/2006/relationships/hyperlink" Target="mailto:katrina.soh@utoronto.ca" TargetMode="External"/><Relationship Id="rId31" Type="http://schemas.openxmlformats.org/officeDocument/2006/relationships/hyperlink" Target="mailto:jessica.bailey@utoronto.ca" TargetMode="External"/><Relationship Id="rId52" Type="http://schemas.openxmlformats.org/officeDocument/2006/relationships/hyperlink" Target="mailto:arlene.smith@utoronto.ca" TargetMode="External"/><Relationship Id="rId73" Type="http://schemas.openxmlformats.org/officeDocument/2006/relationships/hyperlink" Target="mailto:aaron.wheeler@utoronto.ca" TargetMode="External"/><Relationship Id="rId94" Type="http://schemas.openxmlformats.org/officeDocument/2006/relationships/hyperlink" Target="mailto:nancy.calabrese@utoronto.ca" TargetMode="External"/><Relationship Id="rId148" Type="http://schemas.openxmlformats.org/officeDocument/2006/relationships/hyperlink" Target="mailto:ninah@utoronto.ca" TargetMode="External"/><Relationship Id="rId169" Type="http://schemas.openxmlformats.org/officeDocument/2006/relationships/hyperlink" Target="mailto:nancy.calabrese@utoronto.ca" TargetMode="External"/><Relationship Id="rId334" Type="http://schemas.openxmlformats.org/officeDocument/2006/relationships/hyperlink" Target="mailto:arlene.smith@utoronto.ca" TargetMode="External"/><Relationship Id="rId355" Type="http://schemas.openxmlformats.org/officeDocument/2006/relationships/hyperlink" Target="mailto:merle.casci@utoronto.ca" TargetMode="External"/><Relationship Id="rId4" Type="http://schemas.openxmlformats.org/officeDocument/2006/relationships/hyperlink" Target="mailto:konstantin@mie.utoronto.ca" TargetMode="External"/><Relationship Id="rId180" Type="http://schemas.openxmlformats.org/officeDocument/2006/relationships/hyperlink" Target="mailto:paula.smellie@utoronto.ca;" TargetMode="External"/><Relationship Id="rId215" Type="http://schemas.openxmlformats.org/officeDocument/2006/relationships/hyperlink" Target="mailto:merle.casci@utoronto.ca" TargetMode="External"/><Relationship Id="rId236" Type="http://schemas.openxmlformats.org/officeDocument/2006/relationships/hyperlink" Target="mailto:nilesh.ghugre@utoronto.ca" TargetMode="External"/><Relationship Id="rId257" Type="http://schemas.openxmlformats.org/officeDocument/2006/relationships/hyperlink" Target="mailto:elizabeth.sutherland@utoronto.ca" TargetMode="External"/><Relationship Id="rId278" Type="http://schemas.openxmlformats.org/officeDocument/2006/relationships/hyperlink" Target="mailto:shinichiro.ogawa@uhnresearch.ca" TargetMode="External"/><Relationship Id="rId303" Type="http://schemas.openxmlformats.org/officeDocument/2006/relationships/hyperlink" Target="mailto:katrina.soh@utoronto.ca" TargetMode="External"/><Relationship Id="rId42" Type="http://schemas.openxmlformats.org/officeDocument/2006/relationships/hyperlink" Target="mailto:paula.smellie@utoronto.ca" TargetMode="External"/><Relationship Id="rId84" Type="http://schemas.openxmlformats.org/officeDocument/2006/relationships/hyperlink" Target="mailto:katrina.soh@utoronto.ca" TargetMode="External"/><Relationship Id="rId138" Type="http://schemas.openxmlformats.org/officeDocument/2006/relationships/hyperlink" Target="mailto:lynette.anderson@utoronto.ca" TargetMode="External"/><Relationship Id="rId345" Type="http://schemas.openxmlformats.org/officeDocument/2006/relationships/hyperlink" Target="mailto:lisaj@physics.utoronto.ca" TargetMode="External"/><Relationship Id="rId191" Type="http://schemas.openxmlformats.org/officeDocument/2006/relationships/hyperlink" Target="mailto:sachdev.sidhu@utoronto.ca" TargetMode="External"/><Relationship Id="rId205" Type="http://schemas.openxmlformats.org/officeDocument/2006/relationships/hyperlink" Target="mailto:finance.phm@utoronto.ca" TargetMode="External"/><Relationship Id="rId247" Type="http://schemas.openxmlformats.org/officeDocument/2006/relationships/hyperlink" Target="mailto:philip.awadalla@oicr.on.ca" TargetMode="External"/><Relationship Id="rId107" Type="http://schemas.openxmlformats.org/officeDocument/2006/relationships/hyperlink" Target="mailto:katrina.soh@utoronto.ca" TargetMode="External"/><Relationship Id="rId289" Type="http://schemas.openxmlformats.org/officeDocument/2006/relationships/hyperlink" Target="mailto:katrina.soh@utoronto.ca" TargetMode="External"/><Relationship Id="rId11" Type="http://schemas.openxmlformats.org/officeDocument/2006/relationships/hyperlink" Target="mailto:katrina.soh@utoronto.ca" TargetMode="External"/><Relationship Id="rId53" Type="http://schemas.openxmlformats.org/officeDocument/2006/relationships/hyperlink" Target="mailto:arlene.smith@utoronto.ca" TargetMode="External"/><Relationship Id="rId149" Type="http://schemas.openxmlformats.org/officeDocument/2006/relationships/hyperlink" Target="mailto:materials.engineering@utoronto.ca%20(maybe)" TargetMode="External"/><Relationship Id="rId314" Type="http://schemas.openxmlformats.org/officeDocument/2006/relationships/hyperlink" Target="mailto:courtneyl.jones@utoronto.ca" TargetMode="External"/><Relationship Id="rId356" Type="http://schemas.openxmlformats.org/officeDocument/2006/relationships/hyperlink" Target="mailto:nancy.calabrese@utoronto.ca" TargetMode="External"/><Relationship Id="rId95" Type="http://schemas.openxmlformats.org/officeDocument/2006/relationships/hyperlink" Target="mailto:nancy.calabrese@utoronto.ca" TargetMode="External"/><Relationship Id="rId160" Type="http://schemas.openxmlformats.org/officeDocument/2006/relationships/hyperlink" Target="mailto:elisabete@mie.utoronto.ca" TargetMode="External"/><Relationship Id="rId216" Type="http://schemas.openxmlformats.org/officeDocument/2006/relationships/hyperlink" Target="mailto:nelson.cabral@utoronto.ca" TargetMode="External"/><Relationship Id="rId258" Type="http://schemas.openxmlformats.org/officeDocument/2006/relationships/hyperlink" Target="mailto:katrina.soh@utoronto.ca" TargetMode="External"/><Relationship Id="rId22" Type="http://schemas.openxmlformats.org/officeDocument/2006/relationships/hyperlink" Target="mailto:merle.casci@utoronto.ca" TargetMode="External"/><Relationship Id="rId64" Type="http://schemas.openxmlformats.org/officeDocument/2006/relationships/hyperlink" Target="mailto:katrina.soh@utoronto.ca" TargetMode="External"/><Relationship Id="rId118" Type="http://schemas.openxmlformats.org/officeDocument/2006/relationships/hyperlink" Target="mailto:katrina.soh@utoronto.ca" TargetMode="External"/><Relationship Id="rId325" Type="http://schemas.openxmlformats.org/officeDocument/2006/relationships/hyperlink" Target="mailto:christine.kreutzer@utoronto.ca" TargetMode="External"/><Relationship Id="rId367" Type="http://schemas.openxmlformats.org/officeDocument/2006/relationships/hyperlink" Target="mailto:merle.casci@utoronto.ca" TargetMode="External"/><Relationship Id="rId171" Type="http://schemas.openxmlformats.org/officeDocument/2006/relationships/hyperlink" Target="mailto:sevan.hopyan@sickkids.ca" TargetMode="External"/><Relationship Id="rId227" Type="http://schemas.openxmlformats.org/officeDocument/2006/relationships/hyperlink" Target="mailto:elizabeth.den.hartog@utoronto.ca" TargetMode="External"/><Relationship Id="rId269" Type="http://schemas.openxmlformats.org/officeDocument/2006/relationships/hyperlink" Target="mailto:lynette.anderson@utoronto.ca" TargetMode="External"/><Relationship Id="rId33" Type="http://schemas.openxmlformats.org/officeDocument/2006/relationships/hyperlink" Target="mailto:katrina.soh@utoronto.ca" TargetMode="External"/><Relationship Id="rId129" Type="http://schemas.openxmlformats.org/officeDocument/2006/relationships/hyperlink" Target="mailto:katrina.soh@utoronto.ca" TargetMode="External"/><Relationship Id="rId280" Type="http://schemas.openxmlformats.org/officeDocument/2006/relationships/hyperlink" Target="mailto:dr.khan@utoronto.ca" TargetMode="External"/><Relationship Id="rId336" Type="http://schemas.openxmlformats.org/officeDocument/2006/relationships/hyperlink" Target="mailto:gary.bader@utoronto.ca" TargetMode="External"/><Relationship Id="rId75" Type="http://schemas.openxmlformats.org/officeDocument/2006/relationships/hyperlink" Target="mailto:aaron.wheeler@utoronto.ca" TargetMode="External"/><Relationship Id="rId140" Type="http://schemas.openxmlformats.org/officeDocument/2006/relationships/hyperlink" Target="mailto:merle.casci@utoronto.ca" TargetMode="External"/><Relationship Id="rId182" Type="http://schemas.openxmlformats.org/officeDocument/2006/relationships/hyperlink" Target="mailto:sarah.crome@uhnresearch.ca" TargetMode="External"/><Relationship Id="rId6" Type="http://schemas.openxmlformats.org/officeDocument/2006/relationships/hyperlink" Target="mailto:angela.rosa@utoronto.ca" TargetMode="External"/><Relationship Id="rId238" Type="http://schemas.openxmlformats.org/officeDocument/2006/relationships/hyperlink" Target="mailto:s.macparland@utoronto.ca" TargetMode="External"/><Relationship Id="rId291" Type="http://schemas.openxmlformats.org/officeDocument/2006/relationships/hyperlink" Target="mailto:angela.rosa@utoronto.ca" TargetMode="External"/><Relationship Id="rId305" Type="http://schemas.openxmlformats.org/officeDocument/2006/relationships/hyperlink" Target="mailto:anatomy@utoronto.ca" TargetMode="External"/><Relationship Id="rId347" Type="http://schemas.openxmlformats.org/officeDocument/2006/relationships/hyperlink" Target="mailto:ihpme.manager@utoronto.ca" TargetMode="External"/><Relationship Id="rId44" Type="http://schemas.openxmlformats.org/officeDocument/2006/relationships/hyperlink" Target="mailto:lynette.anderson@utoronto.ca" TargetMode="External"/><Relationship Id="rId86" Type="http://schemas.openxmlformats.org/officeDocument/2006/relationships/hyperlink" Target="mailto:immunology.office@utoronto.ca" TargetMode="External"/><Relationship Id="rId151" Type="http://schemas.openxmlformats.org/officeDocument/2006/relationships/hyperlink" Target="mailto:donna.wall@sickkids.ca" TargetMode="External"/><Relationship Id="rId193" Type="http://schemas.openxmlformats.org/officeDocument/2006/relationships/hyperlink" Target="mailto:roman@eecg.utoronto.ca" TargetMode="External"/><Relationship Id="rId207" Type="http://schemas.openxmlformats.org/officeDocument/2006/relationships/hyperlink" Target="mailto:b.blencowe@utoronto.ca" TargetMode="External"/><Relationship Id="rId249" Type="http://schemas.openxmlformats.org/officeDocument/2006/relationships/hyperlink" Target="mailto:paula.smellie@utoronto.ca;" TargetMode="External"/><Relationship Id="rId13" Type="http://schemas.openxmlformats.org/officeDocument/2006/relationships/hyperlink" Target="mailto:christine.kreutzer@utoronto.ca" TargetMode="External"/><Relationship Id="rId109" Type="http://schemas.openxmlformats.org/officeDocument/2006/relationships/hyperlink" Target="mailto:nancy.calabrese@utoronto.ca" TargetMode="External"/><Relationship Id="rId260" Type="http://schemas.openxmlformats.org/officeDocument/2006/relationships/hyperlink" Target="mailto:abazylak@mie.utoronto.ca" TargetMode="External"/><Relationship Id="rId316" Type="http://schemas.openxmlformats.org/officeDocument/2006/relationships/hyperlink" Target="mailto:katrina.soh@utoronto.ca" TargetMode="External"/><Relationship Id="rId55" Type="http://schemas.openxmlformats.org/officeDocument/2006/relationships/hyperlink" Target="mailto:katrina.soh@utoronto.ca" TargetMode="External"/><Relationship Id="rId97" Type="http://schemas.openxmlformats.org/officeDocument/2006/relationships/hyperlink" Target="mailto:nancy.calabrese@utoronto.ca" TargetMode="External"/><Relationship Id="rId120" Type="http://schemas.openxmlformats.org/officeDocument/2006/relationships/hyperlink" Target="mailto:paula.smellie@utoronto.ca;" TargetMode="External"/><Relationship Id="rId358" Type="http://schemas.openxmlformats.org/officeDocument/2006/relationships/hyperlink" Target="mailto:nancy.calabrese@utoronto.ca" TargetMode="External"/><Relationship Id="rId162" Type="http://schemas.openxmlformats.org/officeDocument/2006/relationships/hyperlink" Target="mailto:elisabete@mie.utoronto.ca" TargetMode="External"/><Relationship Id="rId218" Type="http://schemas.openxmlformats.org/officeDocument/2006/relationships/hyperlink" Target="mailto:arlene.smith@utoronto.ca" TargetMode="External"/><Relationship Id="rId271" Type="http://schemas.openxmlformats.org/officeDocument/2006/relationships/hyperlink" Target="mailto:angela.rosa@utoronto.ca" TargetMode="External"/><Relationship Id="rId24" Type="http://schemas.openxmlformats.org/officeDocument/2006/relationships/hyperlink" Target="mailto:merle.casci@utoronto.ca" TargetMode="External"/><Relationship Id="rId66" Type="http://schemas.openxmlformats.org/officeDocument/2006/relationships/hyperlink" Target="mailto:angela.rosa@utoronto.ca" TargetMode="External"/><Relationship Id="rId131" Type="http://schemas.openxmlformats.org/officeDocument/2006/relationships/hyperlink" Target="mailto:merle.casci@utoronto.ca" TargetMode="External"/><Relationship Id="rId327" Type="http://schemas.openxmlformats.org/officeDocument/2006/relationships/hyperlink" Target="mailto:EDIAMANDIS@MTSINAI.ON.CA" TargetMode="External"/><Relationship Id="rId369" Type="http://schemas.openxmlformats.org/officeDocument/2006/relationships/hyperlink" Target="mailto:finance.phm@utoronto.ca" TargetMode="External"/><Relationship Id="rId173" Type="http://schemas.openxmlformats.org/officeDocument/2006/relationships/hyperlink" Target="mailto:sachdev.sidhu@utoronto.ca" TargetMode="External"/><Relationship Id="rId229" Type="http://schemas.openxmlformats.org/officeDocument/2006/relationships/hyperlink" Target="mailto:djob@chem.utoronto.ca" TargetMode="External"/><Relationship Id="rId240" Type="http://schemas.openxmlformats.org/officeDocument/2006/relationships/hyperlink" Target="mailto:paula.smellie@utoronto.ca;" TargetMode="External"/><Relationship Id="rId35" Type="http://schemas.openxmlformats.org/officeDocument/2006/relationships/hyperlink" Target="mailto:elizabeth.sutherland@utoronto.ca" TargetMode="External"/><Relationship Id="rId77" Type="http://schemas.openxmlformats.org/officeDocument/2006/relationships/hyperlink" Target="mailto:angela.rosa@utoronto.ca" TargetMode="External"/><Relationship Id="rId100" Type="http://schemas.openxmlformats.org/officeDocument/2006/relationships/hyperlink" Target="mailto:nancy.calabrese@utoronto.ca" TargetMode="External"/><Relationship Id="rId282" Type="http://schemas.openxmlformats.org/officeDocument/2006/relationships/hyperlink" Target="mailto:nancy.calabrese@utoronto.ca" TargetMode="External"/><Relationship Id="rId338" Type="http://schemas.openxmlformats.org/officeDocument/2006/relationships/hyperlink" Target="mailto:angela.rosa@utoronto.ca" TargetMode="External"/><Relationship Id="rId8" Type="http://schemas.openxmlformats.org/officeDocument/2006/relationships/hyperlink" Target="mailto:katrina.soh@utoronto.ca" TargetMode="External"/><Relationship Id="rId142" Type="http://schemas.openxmlformats.org/officeDocument/2006/relationships/hyperlink" Target="mailto:christine.kreutzer@utoronto.ca" TargetMode="External"/><Relationship Id="rId184" Type="http://schemas.openxmlformats.org/officeDocument/2006/relationships/hyperlink" Target="mailto:leo.chou@utoronto.ca" TargetMode="External"/><Relationship Id="rId251" Type="http://schemas.openxmlformats.org/officeDocument/2006/relationships/hyperlink" Target="mailto:Ivan.Cheng@utoronto.ca" TargetMode="External"/><Relationship Id="rId46" Type="http://schemas.openxmlformats.org/officeDocument/2006/relationships/hyperlink" Target="mailto:Immunology.Office@utoronto.ca" TargetMode="External"/><Relationship Id="rId293" Type="http://schemas.openxmlformats.org/officeDocument/2006/relationships/hyperlink" Target="mailto:michael.garton@utoronto.ca" TargetMode="External"/><Relationship Id="rId307" Type="http://schemas.openxmlformats.org/officeDocument/2006/relationships/hyperlink" Target="mailto:stephanie.melo@utoronto.ca" TargetMode="External"/><Relationship Id="rId349" Type="http://schemas.openxmlformats.org/officeDocument/2006/relationships/hyperlink" Target="mailto:angela.rosa@utoronto.ca" TargetMode="External"/><Relationship Id="rId88" Type="http://schemas.openxmlformats.org/officeDocument/2006/relationships/hyperlink" Target="mailto:immunology.office@utoronto.ca" TargetMode="External"/><Relationship Id="rId111" Type="http://schemas.openxmlformats.org/officeDocument/2006/relationships/hyperlink" Target="mailto:katrina.soh@utoronto.ca" TargetMode="External"/><Relationship Id="rId153" Type="http://schemas.openxmlformats.org/officeDocument/2006/relationships/hyperlink" Target="mailto:Leong-poiH@smh.ca" TargetMode="External"/><Relationship Id="rId195" Type="http://schemas.openxmlformats.org/officeDocument/2006/relationships/hyperlink" Target="mailto:brenda.andrews@utoronto.ca" TargetMode="External"/><Relationship Id="rId209" Type="http://schemas.openxmlformats.org/officeDocument/2006/relationships/hyperlink" Target="mailto:angela.rosa@utoronto.ca" TargetMode="External"/><Relationship Id="rId360" Type="http://schemas.openxmlformats.org/officeDocument/2006/relationships/hyperlink" Target="mailto:nancy.calabrese@utoronto.ca" TargetMode="External"/><Relationship Id="rId220" Type="http://schemas.openxmlformats.org/officeDocument/2006/relationships/hyperlink" Target="mailto:katrina.soh@utoronto.ca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H108"/>
  <sheetViews>
    <sheetView showGridLines="0" tabSelected="1" zoomScaleNormal="100" workbookViewId="0">
      <selection activeCell="D10" sqref="D10"/>
    </sheetView>
  </sheetViews>
  <sheetFormatPr defaultColWidth="9.140625" defaultRowHeight="15"/>
  <cols>
    <col min="1" max="2" width="7.85546875" style="4" bestFit="1" customWidth="1"/>
    <col min="3" max="3" width="38.7109375" style="4" bestFit="1" customWidth="1"/>
    <col min="4" max="4" width="22.28515625" style="13" customWidth="1"/>
    <col min="5" max="5" width="16.42578125" style="21" customWidth="1"/>
    <col min="6" max="7" width="9.140625" style="9"/>
    <col min="8" max="8" width="28.42578125" style="9" customWidth="1"/>
    <col min="9" max="9" width="10.7109375" style="9" customWidth="1"/>
    <col min="10" max="10" width="15.28515625" style="9" bestFit="1" customWidth="1"/>
    <col min="11" max="11" width="14.28515625" style="9" bestFit="1" customWidth="1"/>
    <col min="12" max="12" width="30.7109375" style="9" customWidth="1"/>
    <col min="13" max="13" width="26.42578125" style="9" customWidth="1"/>
    <col min="14" max="14" width="33" style="9" customWidth="1"/>
    <col min="15" max="15" width="27.7109375" style="9" customWidth="1"/>
    <col min="16" max="16" width="29.85546875" style="9" customWidth="1"/>
    <col min="17" max="17" width="21.5703125" style="9" customWidth="1"/>
    <col min="18" max="18" width="31.85546875" style="9" customWidth="1"/>
    <col min="19" max="19" width="27" style="9" customWidth="1"/>
    <col min="20" max="20" width="30" style="9" customWidth="1"/>
    <col min="21" max="21" width="29.85546875" style="9" customWidth="1"/>
    <col min="22" max="22" width="30.42578125" style="9" customWidth="1"/>
    <col min="23" max="23" width="10.5703125" style="9" customWidth="1"/>
    <col min="24" max="24" width="29.28515625" style="9" customWidth="1"/>
    <col min="25" max="25" width="31.5703125" style="9" customWidth="1"/>
    <col min="26" max="26" width="30.28515625" style="9" customWidth="1"/>
    <col min="27" max="27" width="28.28515625" style="9" customWidth="1"/>
    <col min="28" max="28" width="16.5703125" style="9" customWidth="1"/>
    <col min="29" max="29" width="31.7109375" style="9" customWidth="1"/>
    <col min="30" max="30" width="26.140625" style="9" customWidth="1"/>
    <col min="31" max="31" width="20" style="9" customWidth="1"/>
    <col min="32" max="32" width="18" style="9" customWidth="1"/>
    <col min="33" max="33" width="34" style="9" customWidth="1"/>
    <col min="34" max="34" width="19.140625" style="9" customWidth="1"/>
    <col min="35" max="35" width="23" style="9" customWidth="1"/>
    <col min="36" max="36" width="23.28515625" style="9" customWidth="1"/>
    <col min="37" max="37" width="19.85546875" style="9" customWidth="1"/>
    <col min="38" max="38" width="33.5703125" style="9" customWidth="1"/>
    <col min="39" max="39" width="23.85546875" style="9" customWidth="1"/>
    <col min="40" max="40" width="19.7109375" style="9" customWidth="1"/>
    <col min="41" max="41" width="22.42578125" style="9" customWidth="1"/>
    <col min="42" max="42" width="31" style="9" customWidth="1"/>
    <col min="43" max="43" width="21.140625" style="9" customWidth="1"/>
    <col min="44" max="44" width="31.28515625" style="9" customWidth="1"/>
    <col min="45" max="45" width="36.28515625" style="9" customWidth="1"/>
    <col min="46" max="46" width="29.42578125" style="9" customWidth="1"/>
    <col min="47" max="47" width="32.28515625" style="9" customWidth="1"/>
    <col min="48" max="48" width="19.140625" style="9" customWidth="1"/>
    <col min="49" max="49" width="30.28515625" style="9" customWidth="1"/>
    <col min="50" max="50" width="32.7109375" style="9" customWidth="1"/>
    <col min="51" max="51" width="31" style="9" customWidth="1"/>
    <col min="52" max="52" width="31.7109375" style="9" customWidth="1"/>
    <col min="53" max="53" width="16.7109375" style="9" customWidth="1"/>
    <col min="54" max="54" width="28.28515625" style="9" customWidth="1"/>
    <col min="55" max="55" width="29.85546875" style="9" customWidth="1"/>
    <col min="56" max="56" width="21.42578125" style="9" customWidth="1"/>
    <col min="57" max="57" width="11" style="9" customWidth="1"/>
    <col min="58" max="58" width="23" style="9" customWidth="1"/>
    <col min="59" max="59" width="30.5703125" style="9" customWidth="1"/>
    <col min="60" max="60" width="31.28515625" style="9" customWidth="1"/>
    <col min="61" max="61" width="29.28515625" style="9" customWidth="1"/>
    <col min="62" max="62" width="20.5703125" style="9" customWidth="1"/>
    <col min="63" max="63" width="27.28515625" style="9" customWidth="1"/>
    <col min="64" max="64" width="27.85546875" style="9" customWidth="1"/>
    <col min="65" max="65" width="30" style="9" customWidth="1"/>
    <col min="66" max="66" width="20.140625" style="9" customWidth="1"/>
    <col min="67" max="67" width="21.140625" style="9" customWidth="1"/>
    <col min="68" max="68" width="27.7109375" style="9" customWidth="1"/>
    <col min="69" max="69" width="23.42578125" style="9" customWidth="1"/>
    <col min="70" max="70" width="28.5703125" style="9" customWidth="1"/>
    <col min="71" max="71" width="25.85546875" style="9" customWidth="1"/>
    <col min="72" max="72" width="28.28515625" style="9" customWidth="1"/>
    <col min="73" max="73" width="35" style="9" customWidth="1"/>
    <col min="74" max="74" width="22.7109375" style="9" customWidth="1"/>
    <col min="75" max="75" width="32.85546875" style="9" customWidth="1"/>
    <col min="76" max="76" width="31.42578125" style="9" customWidth="1"/>
    <col min="77" max="77" width="33.28515625" style="9" customWidth="1"/>
    <col min="78" max="78" width="34.5703125" style="9" customWidth="1"/>
    <col min="79" max="79" width="22.42578125" style="9" customWidth="1"/>
    <col min="80" max="80" width="30.7109375" style="9" customWidth="1"/>
    <col min="81" max="81" width="29.7109375" style="9" customWidth="1"/>
    <col min="82" max="82" width="27.28515625" style="9" customWidth="1"/>
    <col min="83" max="83" width="30.28515625" style="9" customWidth="1"/>
    <col min="84" max="84" width="27.42578125" style="9" customWidth="1"/>
    <col min="85" max="85" width="21.5703125" style="9" customWidth="1"/>
    <col min="86" max="86" width="15.5703125" style="9" customWidth="1"/>
    <col min="87" max="88" width="30.5703125" style="9" customWidth="1"/>
    <col min="89" max="89" width="29" style="9" customWidth="1"/>
    <col min="90" max="90" width="28.140625" style="9" customWidth="1"/>
    <col min="91" max="91" width="33.85546875" style="9" customWidth="1"/>
    <col min="92" max="92" width="23" style="9" customWidth="1"/>
    <col min="93" max="93" width="17.5703125" style="9" customWidth="1"/>
    <col min="94" max="94" width="30.140625" style="9" customWidth="1"/>
    <col min="95" max="95" width="28.28515625" style="9" customWidth="1"/>
    <col min="96" max="96" width="21.85546875" style="9" customWidth="1"/>
    <col min="97" max="97" width="24.5703125" style="9" customWidth="1"/>
    <col min="98" max="98" width="8.42578125" style="9" customWidth="1"/>
    <col min="99" max="99" width="30.5703125" style="9" customWidth="1"/>
    <col min="100" max="100" width="21.85546875" style="9" customWidth="1"/>
    <col min="101" max="101" width="17.85546875" style="9" customWidth="1"/>
    <col min="102" max="102" width="28.85546875" style="9" customWidth="1"/>
    <col min="103" max="103" width="31.140625" style="9" customWidth="1"/>
    <col min="104" max="105" width="22.140625" style="9" bestFit="1" customWidth="1"/>
    <col min="106" max="106" width="34.7109375" style="9" bestFit="1" customWidth="1"/>
    <col min="107" max="107" width="36" style="9" bestFit="1" customWidth="1"/>
    <col min="108" max="108" width="22.5703125" style="9" bestFit="1" customWidth="1"/>
    <col min="109" max="109" width="32.5703125" style="9" bestFit="1" customWidth="1"/>
    <col min="110" max="110" width="32.7109375" style="9" bestFit="1" customWidth="1"/>
    <col min="111" max="111" width="28.140625" style="9" bestFit="1" customWidth="1"/>
    <col min="112" max="112" width="14" style="9" bestFit="1" customWidth="1"/>
    <col min="113" max="113" width="28.5703125" style="9" bestFit="1" customWidth="1"/>
    <col min="114" max="114" width="31.5703125" style="9" bestFit="1" customWidth="1"/>
    <col min="115" max="115" width="31.7109375" style="9" bestFit="1" customWidth="1"/>
    <col min="116" max="116" width="22.85546875" style="9" bestFit="1" customWidth="1"/>
    <col min="117" max="117" width="22.42578125" style="9" bestFit="1" customWidth="1"/>
    <col min="118" max="118" width="32.28515625" style="9" bestFit="1" customWidth="1"/>
    <col min="119" max="119" width="33.140625" style="9" bestFit="1" customWidth="1"/>
    <col min="120" max="120" width="34.85546875" style="9" bestFit="1" customWidth="1"/>
    <col min="121" max="121" width="34" style="9" bestFit="1" customWidth="1"/>
    <col min="122" max="122" width="23.42578125" style="9" bestFit="1" customWidth="1"/>
    <col min="123" max="123" width="24" style="9" bestFit="1" customWidth="1"/>
    <col min="124" max="124" width="22" style="9" bestFit="1" customWidth="1"/>
    <col min="125" max="125" width="29" style="9" bestFit="1" customWidth="1"/>
    <col min="126" max="126" width="31.28515625" style="9" bestFit="1" customWidth="1"/>
    <col min="127" max="127" width="22.140625" style="9" bestFit="1" customWidth="1"/>
    <col min="128" max="128" width="23.5703125" style="9" bestFit="1" customWidth="1"/>
    <col min="129" max="129" width="28.28515625" style="9" bestFit="1" customWidth="1"/>
    <col min="130" max="130" width="22.28515625" style="9" bestFit="1" customWidth="1"/>
    <col min="131" max="131" width="21" style="9" bestFit="1" customWidth="1"/>
    <col min="132" max="132" width="15.42578125" style="9" bestFit="1" customWidth="1"/>
    <col min="133" max="133" width="37" style="9" bestFit="1" customWidth="1"/>
    <col min="134" max="134" width="37.28515625" style="9" bestFit="1" customWidth="1"/>
    <col min="135" max="135" width="37.5703125" style="9" bestFit="1" customWidth="1"/>
    <col min="136" max="136" width="36.7109375" style="9" bestFit="1" customWidth="1"/>
    <col min="137" max="137" width="35.7109375" style="9" bestFit="1" customWidth="1"/>
    <col min="138" max="138" width="32.28515625" style="9" bestFit="1" customWidth="1"/>
    <col min="139" max="139" width="32.5703125" style="9" bestFit="1" customWidth="1"/>
    <col min="140" max="140" width="22.140625" style="9" bestFit="1" customWidth="1"/>
    <col min="141" max="141" width="18.7109375" style="9" bestFit="1" customWidth="1"/>
    <col min="142" max="142" width="23.42578125" style="9" bestFit="1" customWidth="1"/>
    <col min="143" max="143" width="31.7109375" style="9" bestFit="1" customWidth="1"/>
    <col min="144" max="144" width="22.85546875" style="9" bestFit="1" customWidth="1"/>
    <col min="145" max="145" width="23.140625" style="9" bestFit="1" customWidth="1"/>
    <col min="146" max="146" width="30.7109375" style="9" bestFit="1" customWidth="1"/>
    <col min="147" max="147" width="28.85546875" style="9" bestFit="1" customWidth="1"/>
    <col min="148" max="148" width="22.140625" style="9" bestFit="1" customWidth="1"/>
    <col min="149" max="149" width="22.85546875" style="9" bestFit="1" customWidth="1"/>
    <col min="150" max="150" width="25.7109375" style="9" bestFit="1" customWidth="1"/>
    <col min="151" max="151" width="26.7109375" style="9" bestFit="1" customWidth="1"/>
    <col min="152" max="152" width="17.85546875" style="9" bestFit="1" customWidth="1"/>
    <col min="153" max="153" width="7" style="9" customWidth="1"/>
    <col min="154" max="154" width="22.85546875" style="9" bestFit="1" customWidth="1"/>
    <col min="155" max="155" width="16.85546875" style="9" bestFit="1" customWidth="1"/>
    <col min="156" max="156" width="21.140625" style="9" bestFit="1" customWidth="1"/>
    <col min="157" max="157" width="30" style="9" bestFit="1" customWidth="1"/>
    <col min="158" max="158" width="30.140625" style="9" bestFit="1" customWidth="1"/>
    <col min="159" max="159" width="32.5703125" style="9" bestFit="1" customWidth="1"/>
    <col min="160" max="160" width="30.7109375" style="9" bestFit="1" customWidth="1"/>
    <col min="161" max="161" width="26.42578125" style="9" bestFit="1" customWidth="1"/>
    <col min="162" max="162" width="33" style="9" bestFit="1" customWidth="1"/>
    <col min="163" max="163" width="27.7109375" style="9" bestFit="1" customWidth="1"/>
    <col min="164" max="164" width="29.85546875" style="9" bestFit="1" customWidth="1"/>
    <col min="165" max="165" width="21.5703125" style="9" bestFit="1" customWidth="1"/>
    <col min="166" max="166" width="31.85546875" style="9" bestFit="1" customWidth="1"/>
    <col min="167" max="167" width="27" style="9" bestFit="1" customWidth="1"/>
    <col min="168" max="168" width="30" style="9" bestFit="1" customWidth="1"/>
    <col min="169" max="169" width="29.85546875" style="9" bestFit="1" customWidth="1"/>
    <col min="170" max="170" width="30.42578125" style="9" bestFit="1" customWidth="1"/>
    <col min="171" max="171" width="10.5703125" style="9" bestFit="1" customWidth="1"/>
    <col min="172" max="172" width="29.28515625" style="9" bestFit="1" customWidth="1"/>
    <col min="173" max="173" width="31.5703125" style="9" bestFit="1" customWidth="1"/>
    <col min="174" max="174" width="30.28515625" style="9" bestFit="1" customWidth="1"/>
    <col min="175" max="175" width="28.28515625" style="9" bestFit="1" customWidth="1"/>
    <col min="176" max="176" width="16.5703125" style="9" bestFit="1" customWidth="1"/>
    <col min="177" max="177" width="31.7109375" style="9" bestFit="1" customWidth="1"/>
    <col min="178" max="178" width="26.140625" style="9" bestFit="1" customWidth="1"/>
    <col min="179" max="179" width="20" style="9" bestFit="1" customWidth="1"/>
    <col min="180" max="180" width="18" style="9" bestFit="1" customWidth="1"/>
    <col min="181" max="181" width="34" style="9" bestFit="1" customWidth="1"/>
    <col min="182" max="182" width="19.140625" style="9" bestFit="1" customWidth="1"/>
    <col min="183" max="183" width="23" style="9" bestFit="1" customWidth="1"/>
    <col min="184" max="184" width="23.28515625" style="9" bestFit="1" customWidth="1"/>
    <col min="185" max="185" width="19.85546875" style="9" bestFit="1" customWidth="1"/>
    <col min="186" max="186" width="33.5703125" style="9" bestFit="1" customWidth="1"/>
    <col min="187" max="187" width="23.85546875" style="9" bestFit="1" customWidth="1"/>
    <col min="188" max="188" width="19.7109375" style="9" bestFit="1" customWidth="1"/>
    <col min="189" max="189" width="22.42578125" style="9" bestFit="1" customWidth="1"/>
    <col min="190" max="190" width="31" style="9" bestFit="1" customWidth="1"/>
    <col min="191" max="191" width="21.140625" style="9" bestFit="1" customWidth="1"/>
    <col min="192" max="192" width="31.28515625" style="9" bestFit="1" customWidth="1"/>
    <col min="193" max="193" width="36.28515625" style="9" bestFit="1" customWidth="1"/>
    <col min="194" max="194" width="29.42578125" style="9" bestFit="1" customWidth="1"/>
    <col min="195" max="195" width="32.28515625" style="9" bestFit="1" customWidth="1"/>
    <col min="196" max="196" width="19.140625" style="9" bestFit="1" customWidth="1"/>
    <col min="197" max="197" width="30.28515625" style="9" bestFit="1" customWidth="1"/>
    <col min="198" max="198" width="32.7109375" style="9" bestFit="1" customWidth="1"/>
    <col min="199" max="199" width="31" style="9" bestFit="1" customWidth="1"/>
    <col min="200" max="200" width="31.7109375" style="9" bestFit="1" customWidth="1"/>
    <col min="201" max="201" width="16.7109375" style="9" bestFit="1" customWidth="1"/>
    <col min="202" max="202" width="28.28515625" style="9" bestFit="1" customWidth="1"/>
    <col min="203" max="203" width="29.85546875" style="9" bestFit="1" customWidth="1"/>
    <col min="204" max="204" width="21.42578125" style="9" bestFit="1" customWidth="1"/>
    <col min="205" max="205" width="11" style="9" bestFit="1" customWidth="1"/>
    <col min="206" max="206" width="23" style="9" bestFit="1" customWidth="1"/>
    <col min="207" max="207" width="30.5703125" style="9" bestFit="1" customWidth="1"/>
    <col min="208" max="208" width="31.28515625" style="9" bestFit="1" customWidth="1"/>
    <col min="209" max="209" width="29.28515625" style="9" bestFit="1" customWidth="1"/>
    <col min="210" max="210" width="20.5703125" style="9" bestFit="1" customWidth="1"/>
    <col min="211" max="211" width="27.28515625" style="9" bestFit="1" customWidth="1"/>
    <col min="212" max="212" width="27.85546875" style="9" bestFit="1" customWidth="1"/>
    <col min="213" max="213" width="30" style="9" bestFit="1" customWidth="1"/>
    <col min="214" max="214" width="20.140625" style="9" bestFit="1" customWidth="1"/>
    <col min="215" max="215" width="21.140625" style="9" bestFit="1" customWidth="1"/>
    <col min="216" max="216" width="27.7109375" style="9" bestFit="1" customWidth="1"/>
    <col min="217" max="217" width="23.42578125" style="9" bestFit="1" customWidth="1"/>
    <col min="218" max="218" width="28.5703125" style="9" bestFit="1" customWidth="1"/>
    <col min="219" max="219" width="25.85546875" style="9" bestFit="1" customWidth="1"/>
    <col min="220" max="220" width="28.28515625" style="9" bestFit="1" customWidth="1"/>
    <col min="221" max="221" width="35" style="9" bestFit="1" customWidth="1"/>
    <col min="222" max="222" width="22.7109375" style="9" bestFit="1" customWidth="1"/>
    <col min="223" max="223" width="32.85546875" style="9" bestFit="1" customWidth="1"/>
    <col min="224" max="224" width="31.42578125" style="9" bestFit="1" customWidth="1"/>
    <col min="225" max="225" width="33.28515625" style="9" bestFit="1" customWidth="1"/>
    <col min="226" max="226" width="34.5703125" style="9" bestFit="1" customWidth="1"/>
    <col min="227" max="227" width="22.42578125" style="9" bestFit="1" customWidth="1"/>
    <col min="228" max="228" width="30.7109375" style="9" bestFit="1" customWidth="1"/>
    <col min="229" max="229" width="29.7109375" style="9" bestFit="1" customWidth="1"/>
    <col min="230" max="230" width="27.28515625" style="9" bestFit="1" customWidth="1"/>
    <col min="231" max="231" width="30.28515625" style="9" bestFit="1" customWidth="1"/>
    <col min="232" max="232" width="27.42578125" style="9" bestFit="1" customWidth="1"/>
    <col min="233" max="233" width="21.5703125" style="9" bestFit="1" customWidth="1"/>
    <col min="234" max="234" width="15.5703125" style="9" bestFit="1" customWidth="1"/>
    <col min="235" max="236" width="30.5703125" style="9" bestFit="1" customWidth="1"/>
    <col min="237" max="237" width="29" style="9" bestFit="1" customWidth="1"/>
    <col min="238" max="238" width="28.140625" style="9" bestFit="1" customWidth="1"/>
    <col min="239" max="239" width="33.85546875" style="9" bestFit="1" customWidth="1"/>
    <col min="240" max="240" width="23" style="9" bestFit="1" customWidth="1"/>
    <col min="241" max="241" width="17.5703125" style="9" bestFit="1" customWidth="1"/>
    <col min="242" max="242" width="30.140625" style="9" bestFit="1" customWidth="1"/>
    <col min="243" max="243" width="28.28515625" style="9" bestFit="1" customWidth="1"/>
    <col min="244" max="244" width="21.85546875" style="9" bestFit="1" customWidth="1"/>
    <col min="245" max="245" width="24.5703125" style="9" bestFit="1" customWidth="1"/>
    <col min="246" max="246" width="10" style="9" bestFit="1" customWidth="1"/>
    <col min="247" max="247" width="30.5703125" style="9" bestFit="1" customWidth="1"/>
    <col min="248" max="248" width="21.85546875" style="9" bestFit="1" customWidth="1"/>
    <col min="249" max="249" width="17.85546875" style="9" bestFit="1" customWidth="1"/>
    <col min="250" max="250" width="28.85546875" style="9" bestFit="1" customWidth="1"/>
    <col min="251" max="251" width="31.140625" style="9" bestFit="1" customWidth="1"/>
    <col min="252" max="253" width="22.140625" style="9" bestFit="1" customWidth="1"/>
    <col min="254" max="254" width="34.7109375" style="9" bestFit="1" customWidth="1"/>
    <col min="255" max="255" width="36" style="9" bestFit="1" customWidth="1"/>
    <col min="256" max="256" width="22.5703125" style="9" bestFit="1" customWidth="1"/>
    <col min="257" max="257" width="32.5703125" style="9" bestFit="1" customWidth="1"/>
    <col min="258" max="258" width="32.7109375" style="9" bestFit="1" customWidth="1"/>
    <col min="259" max="259" width="28.140625" style="9" bestFit="1" customWidth="1"/>
    <col min="260" max="260" width="14" style="9" bestFit="1" customWidth="1"/>
    <col min="261" max="261" width="28.5703125" style="9" bestFit="1" customWidth="1"/>
    <col min="262" max="262" width="31.5703125" style="9" bestFit="1" customWidth="1"/>
    <col min="263" max="263" width="31.7109375" style="9" bestFit="1" customWidth="1"/>
    <col min="264" max="264" width="22.85546875" style="9" bestFit="1" customWidth="1"/>
    <col min="265" max="265" width="22.42578125" style="9" bestFit="1" customWidth="1"/>
    <col min="266" max="266" width="32.28515625" style="9" bestFit="1" customWidth="1"/>
    <col min="267" max="267" width="33.140625" style="9" bestFit="1" customWidth="1"/>
    <col min="268" max="268" width="34.85546875" style="9" bestFit="1" customWidth="1"/>
    <col min="269" max="269" width="34" style="9" bestFit="1" customWidth="1"/>
    <col min="270" max="270" width="23.42578125" style="9" bestFit="1" customWidth="1"/>
    <col min="271" max="271" width="24" style="9" bestFit="1" customWidth="1"/>
    <col min="272" max="272" width="22" style="9" bestFit="1" customWidth="1"/>
    <col min="273" max="273" width="29" style="9" bestFit="1" customWidth="1"/>
    <col min="274" max="274" width="31.28515625" style="9" bestFit="1" customWidth="1"/>
    <col min="275" max="275" width="22.140625" style="9" bestFit="1" customWidth="1"/>
    <col min="276" max="276" width="23.5703125" style="9" bestFit="1" customWidth="1"/>
    <col min="277" max="277" width="28.28515625" style="9" bestFit="1" customWidth="1"/>
    <col min="278" max="278" width="22.28515625" style="9" bestFit="1" customWidth="1"/>
    <col min="279" max="279" width="21" style="9" bestFit="1" customWidth="1"/>
    <col min="280" max="280" width="15.42578125" style="9" bestFit="1" customWidth="1"/>
    <col min="281" max="281" width="37" style="9" bestFit="1" customWidth="1"/>
    <col min="282" max="282" width="37.28515625" style="9" bestFit="1" customWidth="1"/>
    <col min="283" max="283" width="37.5703125" style="9" bestFit="1" customWidth="1"/>
    <col min="284" max="284" width="36.7109375" style="9" bestFit="1" customWidth="1"/>
    <col min="285" max="285" width="35.7109375" style="9" bestFit="1" customWidth="1"/>
    <col min="286" max="286" width="32.28515625" style="9" bestFit="1" customWidth="1"/>
    <col min="287" max="287" width="32.5703125" style="9" bestFit="1" customWidth="1"/>
    <col min="288" max="288" width="22.140625" style="9" bestFit="1" customWidth="1"/>
    <col min="289" max="289" width="18.7109375" style="9" bestFit="1" customWidth="1"/>
    <col min="290" max="290" width="23.42578125" style="9" bestFit="1" customWidth="1"/>
    <col min="291" max="291" width="31.7109375" style="9" bestFit="1" customWidth="1"/>
    <col min="292" max="292" width="22.85546875" style="9" bestFit="1" customWidth="1"/>
    <col min="293" max="293" width="23.140625" style="9" bestFit="1" customWidth="1"/>
    <col min="294" max="294" width="30.7109375" style="9" bestFit="1" customWidth="1"/>
    <col min="295" max="295" width="28.85546875" style="9" bestFit="1" customWidth="1"/>
    <col min="296" max="296" width="22.140625" style="9" bestFit="1" customWidth="1"/>
    <col min="297" max="297" width="22.85546875" style="9" bestFit="1" customWidth="1"/>
    <col min="298" max="298" width="25.7109375" style="9" bestFit="1" customWidth="1"/>
    <col min="299" max="299" width="26.7109375" style="9" bestFit="1" customWidth="1"/>
    <col min="300" max="300" width="17.85546875" style="9" bestFit="1" customWidth="1"/>
    <col min="301" max="301" width="7" style="9" customWidth="1"/>
    <col min="302" max="302" width="22.85546875" style="9" bestFit="1" customWidth="1"/>
    <col min="303" max="303" width="16.85546875" style="9" bestFit="1" customWidth="1"/>
    <col min="304" max="304" width="21.140625" style="9" bestFit="1" customWidth="1"/>
    <col min="305" max="305" width="19" style="9" bestFit="1" customWidth="1"/>
    <col min="306" max="306" width="15.28515625" style="9" bestFit="1" customWidth="1"/>
    <col min="307" max="16384" width="9.140625" style="9"/>
  </cols>
  <sheetData>
    <row r="1" spans="1:8" ht="19.5">
      <c r="A1" s="20" t="s">
        <v>0</v>
      </c>
      <c r="B1" s="20"/>
      <c r="C1" s="20"/>
      <c r="D1" s="20"/>
      <c r="E1" s="22"/>
      <c r="F1" s="22"/>
      <c r="G1" s="22"/>
      <c r="H1" s="22"/>
    </row>
    <row r="2" spans="1:8">
      <c r="C2" s="5"/>
      <c r="D2" s="410" t="s">
        <v>1</v>
      </c>
      <c r="E2" s="410"/>
    </row>
    <row r="3" spans="1:8" ht="15.75">
      <c r="C3" s="14" t="s">
        <v>2</v>
      </c>
      <c r="D3" s="15" t="s">
        <v>3</v>
      </c>
      <c r="E3" s="392" t="s">
        <v>4</v>
      </c>
    </row>
    <row r="4" spans="1:8" ht="15.75">
      <c r="C4" s="16" t="s">
        <v>5</v>
      </c>
      <c r="D4" s="237">
        <f>'Final Table 2022-2023'!P24+'Final Table 2022-2023'!Q24</f>
        <v>2039082.355</v>
      </c>
      <c r="E4" s="236">
        <v>18</v>
      </c>
    </row>
    <row r="5" spans="1:8" ht="15.75">
      <c r="C5" s="16" t="s">
        <v>6</v>
      </c>
      <c r="D5" s="237">
        <f>'Final Table 2022-2023'!P25+'Final Table 2022-2023'!Q25</f>
        <v>1677234.0681</v>
      </c>
      <c r="E5" s="236" t="s">
        <v>7</v>
      </c>
    </row>
    <row r="6" spans="1:8" ht="15.75">
      <c r="C6" s="16" t="s">
        <v>8</v>
      </c>
      <c r="D6" s="237">
        <f>'Final Table 2022-2023'!P28+'Final Table 2022-2023'!Q28</f>
        <v>197737.7231</v>
      </c>
      <c r="E6" s="236">
        <v>4</v>
      </c>
    </row>
    <row r="7" spans="1:8" ht="15.75">
      <c r="C7" s="16" t="s">
        <v>9</v>
      </c>
      <c r="D7" s="237">
        <f>'Final Table 2022-2023'!P26+'Final Table 2022-2023'!Q26</f>
        <v>1799179.0194000001</v>
      </c>
      <c r="E7" s="236">
        <v>13</v>
      </c>
    </row>
    <row r="8" spans="1:8" ht="15.75">
      <c r="C8" s="16" t="s">
        <v>10</v>
      </c>
      <c r="D8" s="237">
        <f>'Final Table 2022-2023'!P27+'Final Table 2022-2023'!Q27</f>
        <v>688295.698844</v>
      </c>
      <c r="E8" s="236">
        <v>21</v>
      </c>
    </row>
    <row r="9" spans="1:8" ht="15.75">
      <c r="C9" s="17" t="s">
        <v>11</v>
      </c>
      <c r="D9" s="18">
        <f>SUM(D4:D8)</f>
        <v>6401528.8644439997</v>
      </c>
      <c r="E9" s="25">
        <f>E4+E6+E7+E8</f>
        <v>56</v>
      </c>
    </row>
    <row r="10" spans="1:8">
      <c r="A10" s="11" t="s">
        <v>12</v>
      </c>
      <c r="C10" s="5"/>
      <c r="D10" s="12"/>
      <c r="E10" s="26"/>
    </row>
    <row r="11" spans="1:8">
      <c r="A11" s="28" t="s">
        <v>13</v>
      </c>
      <c r="B11"/>
      <c r="C11"/>
      <c r="D11"/>
      <c r="E11" s="27"/>
    </row>
    <row r="12" spans="1:8">
      <c r="A12" s="393" t="s">
        <v>14</v>
      </c>
      <c r="B12"/>
      <c r="C12"/>
      <c r="D12"/>
      <c r="E12" s="27"/>
    </row>
    <row r="13" spans="1:8">
      <c r="A13" s="30" t="s">
        <v>15</v>
      </c>
      <c r="C13" s="9"/>
    </row>
    <row r="17" spans="1:8" ht="20.25" thickBot="1">
      <c r="A17" s="20" t="s">
        <v>16</v>
      </c>
      <c r="B17" s="20"/>
      <c r="C17" s="20"/>
      <c r="D17" s="20"/>
      <c r="E17" s="22"/>
      <c r="F17" s="22"/>
      <c r="G17" s="22"/>
      <c r="H17" s="22"/>
    </row>
    <row r="18" spans="1:8" ht="16.5" thickTop="1" thickBot="1">
      <c r="C18" s="5"/>
      <c r="D18" s="410" t="s">
        <v>1</v>
      </c>
      <c r="E18" s="410"/>
    </row>
    <row r="19" spans="1:8" ht="15.75">
      <c r="C19" s="14" t="s">
        <v>2</v>
      </c>
      <c r="D19" s="15" t="s">
        <v>3</v>
      </c>
      <c r="E19" s="392" t="s">
        <v>4</v>
      </c>
    </row>
    <row r="20" spans="1:8" ht="15.75">
      <c r="C20" s="16" t="s">
        <v>17</v>
      </c>
      <c r="D20" s="237">
        <f>'REF-PT-2021-2022'!K11</f>
        <v>33332.5</v>
      </c>
      <c r="E20" s="236">
        <v>2</v>
      </c>
    </row>
    <row r="21" spans="1:8" ht="15.75">
      <c r="C21" s="16" t="s">
        <v>5</v>
      </c>
      <c r="D21" s="237">
        <f>'REF-PT-2021-2022'!K3</f>
        <v>1960817.65</v>
      </c>
      <c r="E21" s="236">
        <v>17</v>
      </c>
    </row>
    <row r="22" spans="1:8" ht="15.75">
      <c r="C22" s="16" t="s">
        <v>6</v>
      </c>
      <c r="D22" s="237">
        <f>'REF-PT-2021-2022'!K4</f>
        <v>1408899.44</v>
      </c>
      <c r="E22" s="236" t="s">
        <v>7</v>
      </c>
    </row>
    <row r="23" spans="1:8" ht="15.75">
      <c r="C23" s="16" t="s">
        <v>18</v>
      </c>
      <c r="D23" s="237">
        <f>'REF-PT-2021-2022'!K10</f>
        <v>9162812.9399999995</v>
      </c>
      <c r="E23" s="236">
        <v>71</v>
      </c>
    </row>
    <row r="24" spans="1:8" ht="15.75">
      <c r="C24" s="16" t="s">
        <v>8</v>
      </c>
      <c r="D24" s="237">
        <f>'REF-PT-2021-2022'!K7</f>
        <v>2396452.08</v>
      </c>
      <c r="E24" s="236">
        <v>7</v>
      </c>
    </row>
    <row r="25" spans="1:8" ht="15.75">
      <c r="C25" s="16" t="s">
        <v>19</v>
      </c>
      <c r="D25" s="237">
        <f>'REF-PT-2021-2022'!K8</f>
        <v>399783.22</v>
      </c>
      <c r="E25" s="236">
        <v>7</v>
      </c>
    </row>
    <row r="26" spans="1:8" ht="15.75">
      <c r="C26" s="16" t="s">
        <v>9</v>
      </c>
      <c r="D26" s="237">
        <f>'REF-PT-2021-2022'!K5</f>
        <v>1611799.71</v>
      </c>
      <c r="E26" s="236">
        <v>16</v>
      </c>
    </row>
    <row r="27" spans="1:8" ht="15.75">
      <c r="C27" s="16" t="s">
        <v>20</v>
      </c>
      <c r="D27" s="237">
        <f>'REF-PT-2021-2022'!K9</f>
        <v>546686.11</v>
      </c>
      <c r="E27" s="236">
        <v>6</v>
      </c>
    </row>
    <row r="28" spans="1:8" ht="15.75">
      <c r="C28" s="16" t="s">
        <v>10</v>
      </c>
      <c r="D28" s="237">
        <f>'REF-PT-2021-2022'!K6</f>
        <v>371737.37</v>
      </c>
      <c r="E28" s="236">
        <v>4</v>
      </c>
    </row>
    <row r="29" spans="1:8" ht="16.5" thickBot="1">
      <c r="C29" s="17" t="s">
        <v>11</v>
      </c>
      <c r="D29" s="18">
        <f>SUM(D20:D28)</f>
        <v>17892321.02</v>
      </c>
      <c r="E29" s="25">
        <f>SUM(E20:E28)</f>
        <v>130</v>
      </c>
    </row>
    <row r="30" spans="1:8">
      <c r="A30" s="11" t="s">
        <v>12</v>
      </c>
      <c r="C30" s="5"/>
      <c r="D30" s="12"/>
      <c r="E30" s="26"/>
    </row>
    <row r="31" spans="1:8">
      <c r="A31" s="28" t="s">
        <v>13</v>
      </c>
      <c r="B31"/>
      <c r="C31"/>
      <c r="D31"/>
      <c r="E31" s="27"/>
    </row>
    <row r="32" spans="1:8">
      <c r="A32" s="29" t="s">
        <v>21</v>
      </c>
      <c r="B32"/>
      <c r="C32"/>
      <c r="D32"/>
      <c r="E32" s="27"/>
    </row>
    <row r="33" spans="1:8">
      <c r="A33" s="30" t="s">
        <v>15</v>
      </c>
      <c r="C33" s="9"/>
    </row>
    <row r="36" spans="1:8" ht="20.25" thickBot="1">
      <c r="A36" s="20" t="s">
        <v>22</v>
      </c>
      <c r="B36" s="20"/>
      <c r="C36" s="20"/>
      <c r="D36" s="20"/>
      <c r="E36" s="22"/>
      <c r="F36" s="22"/>
      <c r="G36" s="22"/>
      <c r="H36" s="22"/>
    </row>
    <row r="37" spans="1:8" ht="16.5" thickTop="1" thickBot="1">
      <c r="C37" s="5"/>
      <c r="D37" s="410" t="s">
        <v>1</v>
      </c>
      <c r="E37" s="410"/>
    </row>
    <row r="38" spans="1:8" ht="15.75">
      <c r="C38" s="14" t="s">
        <v>2</v>
      </c>
      <c r="D38" s="15" t="s">
        <v>3</v>
      </c>
      <c r="E38" s="24" t="s">
        <v>4</v>
      </c>
    </row>
    <row r="39" spans="1:8" ht="15.75">
      <c r="C39" s="16" t="s">
        <v>17</v>
      </c>
      <c r="D39" s="235">
        <f>'REF-PT-2020-2021(Final)'!G4</f>
        <v>33332.5</v>
      </c>
      <c r="E39" s="236">
        <f>GETPIVOTDATA("PI Full Name",'REF-PT-2020-2021(Final)'!$A$3,"Program Name","Engineering-Medicine/Hospital - EMHSeed")</f>
        <v>2</v>
      </c>
    </row>
    <row r="40" spans="1:8" ht="15.75">
      <c r="C40" s="16" t="s">
        <v>6</v>
      </c>
      <c r="D40" s="237">
        <f>'REF-PT-2020-2021(Final)'!G5</f>
        <v>1333300</v>
      </c>
      <c r="E40" s="236" t="s">
        <v>7</v>
      </c>
    </row>
    <row r="41" spans="1:8" ht="15.75">
      <c r="C41" s="16" t="s">
        <v>18</v>
      </c>
      <c r="D41" s="235">
        <f>'REF-PT-2020-2021(Final)'!G7</f>
        <v>9266333.6691999994</v>
      </c>
      <c r="E41" s="236">
        <f>GETPIVOTDATA("PI Full Name",'REF-PT-2020-2021(Final)'!$A$3,"Program Name","MbD Team Project Award (""Cycle 2"")")</f>
        <v>70</v>
      </c>
    </row>
    <row r="42" spans="1:8" ht="15.75">
      <c r="C42" s="16" t="s">
        <v>8</v>
      </c>
      <c r="D42" s="235">
        <f>'REF-PT-2020-2021(Final)'!G8</f>
        <v>1668688.9484000001</v>
      </c>
      <c r="E42" s="236">
        <f>GETPIVOTDATA("PI Full Name",'REF-PT-2020-2021(Final)'!$A$3,"Program Name","New Hire Faculty Support")-'REF-PT-2020-2021(Final)'!B13</f>
        <v>7</v>
      </c>
    </row>
    <row r="43" spans="1:8" ht="15.75">
      <c r="C43" s="16" t="s">
        <v>19</v>
      </c>
      <c r="D43" s="235">
        <f>'REF-PT-2020-2021(Final)'!G9</f>
        <v>1447117.1544999999</v>
      </c>
      <c r="E43" s="236">
        <f>GETPIVOTDATA("PI Full Name",'REF-PT-2020-2021(Final)'!$A$3,"Program Name","New Ideas")</f>
        <v>22</v>
      </c>
    </row>
    <row r="44" spans="1:8" ht="15.75">
      <c r="C44" s="16" t="s">
        <v>20</v>
      </c>
      <c r="D44" s="235">
        <f>'REF-PT-2020-2021(Final)'!G10</f>
        <v>964386.78306100005</v>
      </c>
      <c r="E44" s="236">
        <f>GETPIVOTDATA("PI Full Name",'REF-PT-2020-2021(Final)'!$A$3,"Program Name","Postdoctoral Fellowship ")</f>
        <v>13</v>
      </c>
    </row>
    <row r="45" spans="1:8" ht="15.75">
      <c r="C45" s="16" t="s">
        <v>10</v>
      </c>
      <c r="D45" s="235">
        <f>'REF-PT-2020-2021(Final)'!G11</f>
        <v>399990</v>
      </c>
      <c r="E45" s="236">
        <f>GETPIVOTDATA("PI Full Name",'REF-PT-2020-2021(Final)'!$A$3,"Program Name","Special Projects")</f>
        <v>2</v>
      </c>
    </row>
    <row r="46" spans="1:8" ht="16.5" thickBot="1">
      <c r="C46" s="17" t="s">
        <v>11</v>
      </c>
      <c r="D46" s="18">
        <f>SUM(D39:D45)</f>
        <v>15113149.055160999</v>
      </c>
      <c r="E46" s="25">
        <f>SUM(E39:E45)</f>
        <v>116</v>
      </c>
    </row>
    <row r="47" spans="1:8">
      <c r="A47" s="11" t="s">
        <v>12</v>
      </c>
      <c r="C47" s="5"/>
      <c r="D47" s="12"/>
      <c r="E47" s="26"/>
    </row>
    <row r="48" spans="1:8">
      <c r="A48" s="28" t="s">
        <v>13</v>
      </c>
      <c r="B48"/>
      <c r="C48"/>
      <c r="D48"/>
      <c r="E48" s="27"/>
    </row>
    <row r="49" spans="1:8">
      <c r="A49" s="29" t="s">
        <v>23</v>
      </c>
      <c r="B49"/>
      <c r="C49"/>
      <c r="D49"/>
      <c r="E49" s="27"/>
    </row>
    <row r="50" spans="1:8">
      <c r="A50" s="30" t="s">
        <v>15</v>
      </c>
      <c r="C50" s="9"/>
    </row>
    <row r="51" spans="1:8">
      <c r="A51" s="4" t="s">
        <v>24</v>
      </c>
    </row>
    <row r="54" spans="1:8" ht="20.25" thickBot="1">
      <c r="A54" s="20" t="s">
        <v>25</v>
      </c>
      <c r="B54" s="20"/>
      <c r="C54" s="20"/>
      <c r="D54" s="20"/>
      <c r="E54" s="20"/>
      <c r="F54" s="20"/>
      <c r="G54" s="20"/>
      <c r="H54" s="20"/>
    </row>
    <row r="55" spans="1:8" ht="16.5" thickTop="1" thickBot="1">
      <c r="C55" s="5"/>
      <c r="D55" s="12"/>
      <c r="E55" s="23"/>
    </row>
    <row r="56" spans="1:8" ht="15.75">
      <c r="C56" s="14" t="s">
        <v>2</v>
      </c>
      <c r="D56" s="15" t="s">
        <v>3</v>
      </c>
      <c r="E56" s="24" t="s">
        <v>4</v>
      </c>
    </row>
    <row r="57" spans="1:8" ht="15.75">
      <c r="C57" s="16" t="s">
        <v>17</v>
      </c>
      <c r="D57" s="235">
        <f>GETPIVOTDATA("Sum of Budget",'REF-PT Working Note'!$E$5,"Program Name","Engineering-Medicine/Hospital - EMHSeed")+GETPIVOTDATA("Sum of OH",'REF-PT Working Note'!$E$5,"Program Name","Engineering-Medicine/Hospital - EMHSeed")</f>
        <v>33332.5</v>
      </c>
      <c r="E57" s="236">
        <f>GETPIVOTDATA("PI Name",'REF-PT Working Note'!$A$5,"Program Name","Engineering-Medicine/Hospital - EMHSeed")</f>
        <v>2</v>
      </c>
    </row>
    <row r="58" spans="1:8" ht="15.75">
      <c r="C58" s="16" t="s">
        <v>6</v>
      </c>
      <c r="D58" s="237">
        <f>GETPIVOTDATA("Sum of Budget",'REF-PT Working Note'!$E$5,"Program Name","MbD Operations &amp; Outreach")+GETPIVOTDATA("Sum of OH",'REF-PT Working Note'!$E$5,"Program Name","MbD Operations &amp; Outreach")</f>
        <v>2279943</v>
      </c>
      <c r="E58" s="236" t="s">
        <v>7</v>
      </c>
    </row>
    <row r="59" spans="1:8" ht="15.75">
      <c r="C59" s="16" t="s">
        <v>18</v>
      </c>
      <c r="D59" s="235">
        <f>GETPIVOTDATA("Sum of Budget",'REF-PT Working Note'!$E$5,"Program Name","MbD Team Project Award (""Cycle 2"")")+GETPIVOTDATA("Sum of OH",'REF-PT Working Note'!$E$5,"Program Name","MbD Team Project Award (""Cycle 2"")")</f>
        <v>9154543.1306999996</v>
      </c>
      <c r="E59" s="236">
        <f>GETPIVOTDATA("PI Name",'REF-PT Working Note'!$A$5,"Program Name","MbD Team Project Award (""Cycle 2"")")</f>
        <v>70</v>
      </c>
    </row>
    <row r="60" spans="1:8" ht="15.75">
      <c r="C60" s="16" t="s">
        <v>8</v>
      </c>
      <c r="D60" s="235">
        <f>GETPIVOTDATA("Sum of Budget",'REF-PT Working Note'!$E$5,"Program Name","New Hire Faculty Support")+GETPIVOTDATA("Sum of OH",'REF-PT Working Note'!$E$5,"Program Name","New Hire Faculty Support")</f>
        <v>1761102.638</v>
      </c>
      <c r="E60" s="236">
        <f>GETPIVOTDATA("PI Name",'REF-PT Working Note'!$A$5,"Program Name","New Hire Faculty Support")-'REF-PT Working Note'!B14</f>
        <v>4</v>
      </c>
    </row>
    <row r="61" spans="1:8" ht="15.75">
      <c r="C61" s="16" t="s">
        <v>19</v>
      </c>
      <c r="D61" s="235">
        <f>GETPIVOTDATA("Sum of Budget",'REF-PT Working Note'!$E$5,"Program Name","New Ideas")+GETPIVOTDATA("Sum of OH",'REF-PT Working Note'!$E$5,"Program Name","New Ideas")</f>
        <v>1578488.5368000001</v>
      </c>
      <c r="E61" s="236">
        <f>GETPIVOTDATA("PI Name",'REF-PT Working Note'!$A$5,"Program Name","New Ideas")</f>
        <v>24</v>
      </c>
    </row>
    <row r="62" spans="1:8" ht="15.75">
      <c r="C62" s="16" t="s">
        <v>20</v>
      </c>
      <c r="D62" s="235">
        <f>GETPIVOTDATA("Sum of Budget",'REF-PT Working Note'!$E$5,"Program Name","Postdoctoral Fellowship ")+GETPIVOTDATA("Sum of OH",'REF-PT Working Note'!$E$5,"Program Name","Postdoctoral Fellowship ")</f>
        <v>879296.01705000002</v>
      </c>
      <c r="E62" s="236">
        <f>GETPIVOTDATA("PI Name",'REF-PT Working Note'!$A$5,"Program Name","Postdoctoral Fellowship ")</f>
        <v>14</v>
      </c>
    </row>
    <row r="63" spans="1:8" ht="16.5" thickBot="1">
      <c r="C63" s="17" t="s">
        <v>11</v>
      </c>
      <c r="D63" s="18">
        <f>SUM(D57:D62)</f>
        <v>15686705.822550001</v>
      </c>
      <c r="E63" s="25">
        <f>SUM(E57:E62)</f>
        <v>114</v>
      </c>
    </row>
    <row r="64" spans="1:8">
      <c r="A64" s="11" t="s">
        <v>12</v>
      </c>
      <c r="C64" s="5"/>
      <c r="D64" s="12"/>
      <c r="E64" s="26"/>
    </row>
    <row r="65" spans="1:8">
      <c r="A65" s="28" t="s">
        <v>13</v>
      </c>
      <c r="B65"/>
      <c r="C65"/>
      <c r="D65"/>
      <c r="E65" s="27"/>
    </row>
    <row r="66" spans="1:8">
      <c r="A66" s="29" t="s">
        <v>26</v>
      </c>
      <c r="B66"/>
      <c r="C66"/>
      <c r="D66"/>
      <c r="E66" s="27"/>
    </row>
    <row r="67" spans="1:8">
      <c r="A67" s="30" t="s">
        <v>15</v>
      </c>
      <c r="C67" s="9"/>
    </row>
    <row r="72" spans="1:8" ht="20.25" thickBot="1">
      <c r="A72" s="20" t="s">
        <v>27</v>
      </c>
      <c r="B72" s="20"/>
      <c r="C72" s="20"/>
      <c r="D72" s="20"/>
      <c r="E72" s="20"/>
      <c r="F72" s="20"/>
      <c r="G72" s="20"/>
      <c r="H72" s="20"/>
    </row>
    <row r="73" spans="1:8" ht="16.5" thickTop="1" thickBot="1">
      <c r="C73" s="5"/>
      <c r="D73" s="12"/>
      <c r="E73" s="23"/>
    </row>
    <row r="74" spans="1:8" ht="15.75">
      <c r="C74" s="14" t="s">
        <v>2</v>
      </c>
      <c r="D74" s="15" t="s">
        <v>28</v>
      </c>
      <c r="E74" s="24" t="s">
        <v>4</v>
      </c>
    </row>
    <row r="75" spans="1:8" ht="15.75">
      <c r="C75" s="16" t="s">
        <v>17</v>
      </c>
      <c r="D75" s="235">
        <v>33332.5</v>
      </c>
      <c r="E75" s="236">
        <v>2</v>
      </c>
    </row>
    <row r="76" spans="1:8" ht="15.75">
      <c r="C76" s="16" t="s">
        <v>6</v>
      </c>
      <c r="D76" s="237">
        <v>1776440.9212</v>
      </c>
      <c r="E76" s="236" t="s">
        <v>7</v>
      </c>
    </row>
    <row r="77" spans="1:8" ht="15.75">
      <c r="C77" s="16" t="s">
        <v>29</v>
      </c>
      <c r="D77" s="235">
        <v>12231582.2028</v>
      </c>
      <c r="E77" s="236">
        <v>104</v>
      </c>
    </row>
    <row r="78" spans="1:8" ht="15.75">
      <c r="C78" s="16" t="s">
        <v>8</v>
      </c>
      <c r="D78" s="235">
        <v>3072323.19</v>
      </c>
      <c r="E78" s="236">
        <v>8</v>
      </c>
    </row>
    <row r="79" spans="1:8" ht="15.75">
      <c r="C79" s="16" t="s">
        <v>19</v>
      </c>
      <c r="D79" s="235">
        <v>1463730.0725</v>
      </c>
      <c r="E79" s="236">
        <v>20</v>
      </c>
    </row>
    <row r="80" spans="1:8" ht="15.75">
      <c r="C80" s="16" t="s">
        <v>20</v>
      </c>
      <c r="D80" s="235">
        <v>694426.19891100004</v>
      </c>
      <c r="E80" s="236">
        <v>14</v>
      </c>
    </row>
    <row r="81" spans="1:8" ht="16.5" thickBot="1">
      <c r="C81" s="17" t="s">
        <v>11</v>
      </c>
      <c r="D81" s="18">
        <f>SUM(D75:D80)</f>
        <v>19271835.085411001</v>
      </c>
      <c r="E81" s="25">
        <f>SUM(E75:E80)</f>
        <v>148</v>
      </c>
    </row>
    <row r="82" spans="1:8">
      <c r="A82" s="11" t="s">
        <v>12</v>
      </c>
      <c r="C82" s="5"/>
      <c r="D82" s="12"/>
      <c r="E82" s="26"/>
    </row>
    <row r="83" spans="1:8">
      <c r="A83" s="28" t="s">
        <v>13</v>
      </c>
      <c r="B83"/>
      <c r="C83"/>
      <c r="D83"/>
      <c r="E83" s="27"/>
    </row>
    <row r="84" spans="1:8">
      <c r="A84" s="29" t="s">
        <v>30</v>
      </c>
      <c r="B84"/>
      <c r="C84"/>
      <c r="D84"/>
      <c r="E84" s="27"/>
    </row>
    <row r="85" spans="1:8">
      <c r="A85" s="30" t="s">
        <v>31</v>
      </c>
      <c r="C85" s="9"/>
    </row>
    <row r="90" spans="1:8" ht="20.25" thickBot="1">
      <c r="A90" s="20" t="s">
        <v>32</v>
      </c>
      <c r="B90" s="20"/>
      <c r="C90" s="20"/>
      <c r="D90" s="20"/>
      <c r="E90" s="20"/>
      <c r="F90" s="20"/>
      <c r="G90" s="20"/>
      <c r="H90" s="20"/>
    </row>
    <row r="91" spans="1:8" ht="16.5" thickTop="1" thickBot="1">
      <c r="C91" s="5"/>
      <c r="D91" s="12"/>
      <c r="E91" s="23"/>
    </row>
    <row r="92" spans="1:8" ht="15.75">
      <c r="C92" s="14" t="s">
        <v>2</v>
      </c>
      <c r="D92" s="15" t="s">
        <v>28</v>
      </c>
      <c r="E92" s="24" t="s">
        <v>4</v>
      </c>
    </row>
    <row r="93" spans="1:8" ht="15.75">
      <c r="C93" s="16" t="s">
        <v>17</v>
      </c>
      <c r="D93" s="235">
        <v>119997</v>
      </c>
      <c r="E93" s="236">
        <v>4</v>
      </c>
    </row>
    <row r="94" spans="1:8" ht="15.75">
      <c r="C94" s="16" t="s">
        <v>6</v>
      </c>
      <c r="D94" s="237">
        <v>1784474.0537</v>
      </c>
      <c r="E94" s="236" t="s">
        <v>7</v>
      </c>
    </row>
    <row r="95" spans="1:8" ht="15.75">
      <c r="C95" s="16" t="s">
        <v>29</v>
      </c>
      <c r="D95" s="235">
        <v>12346354.0001</v>
      </c>
      <c r="E95" s="236">
        <v>104</v>
      </c>
    </row>
    <row r="96" spans="1:8" ht="15.75">
      <c r="C96" s="16" t="s">
        <v>8</v>
      </c>
      <c r="D96" s="235">
        <v>894910.96</v>
      </c>
      <c r="E96" s="236">
        <v>5</v>
      </c>
    </row>
    <row r="97" spans="1:6" ht="15.75">
      <c r="C97" s="16" t="s">
        <v>19</v>
      </c>
      <c r="D97" s="235">
        <v>1909106.9378</v>
      </c>
      <c r="E97" s="236">
        <v>27</v>
      </c>
    </row>
    <row r="98" spans="1:6" ht="15.75">
      <c r="C98" s="16" t="s">
        <v>20</v>
      </c>
      <c r="D98" s="235">
        <v>355547.11109999998</v>
      </c>
      <c r="E98" s="236">
        <v>8</v>
      </c>
    </row>
    <row r="99" spans="1:6" ht="16.5" thickBot="1">
      <c r="C99" s="17" t="s">
        <v>11</v>
      </c>
      <c r="D99" s="18">
        <f>SUM(D93:D98)</f>
        <v>17410390.0627</v>
      </c>
      <c r="E99" s="25">
        <f>SUM(E93:E98)</f>
        <v>148</v>
      </c>
    </row>
    <row r="100" spans="1:6">
      <c r="A100" s="11" t="s">
        <v>12</v>
      </c>
      <c r="C100" s="5"/>
      <c r="D100" s="12"/>
      <c r="E100" s="26"/>
    </row>
    <row r="101" spans="1:6">
      <c r="A101" s="28" t="s">
        <v>13</v>
      </c>
      <c r="B101"/>
      <c r="C101"/>
      <c r="D101"/>
      <c r="E101" s="27"/>
      <c r="F101"/>
    </row>
    <row r="102" spans="1:6">
      <c r="A102" s="29" t="s">
        <v>33</v>
      </c>
      <c r="B102"/>
      <c r="C102"/>
      <c r="D102"/>
      <c r="E102" s="27"/>
      <c r="F102"/>
    </row>
    <row r="103" spans="1:6">
      <c r="A103" s="30" t="s">
        <v>31</v>
      </c>
      <c r="C103" s="9"/>
    </row>
    <row r="107" spans="1:6">
      <c r="C107" s="13"/>
    </row>
    <row r="108" spans="1:6">
      <c r="C108" s="13"/>
    </row>
  </sheetData>
  <mergeCells count="3">
    <mergeCell ref="D37:E37"/>
    <mergeCell ref="D18:E18"/>
    <mergeCell ref="D2:E2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M131"/>
  <sheetViews>
    <sheetView workbookViewId="0">
      <selection activeCell="B76" sqref="B76"/>
    </sheetView>
  </sheetViews>
  <sheetFormatPr defaultRowHeight="15"/>
  <cols>
    <col min="1" max="1" width="17.140625" style="247" customWidth="1"/>
    <col min="2" max="2" width="14.7109375" customWidth="1"/>
    <col min="3" max="3" width="25.28515625" bestFit="1" customWidth="1"/>
    <col min="4" max="6" width="14.7109375" customWidth="1"/>
    <col min="7" max="7" width="36.28515625" bestFit="1" customWidth="1"/>
    <col min="8" max="8" width="10.5703125" customWidth="1"/>
    <col min="9" max="9" width="12.28515625" bestFit="1" customWidth="1"/>
    <col min="10" max="10" width="13.7109375" bestFit="1" customWidth="1"/>
    <col min="11" max="12" width="15.85546875" bestFit="1" customWidth="1"/>
    <col min="13" max="13" width="14.42578125" bestFit="1" customWidth="1"/>
  </cols>
  <sheetData>
    <row r="1" spans="1:13" ht="16.5" thickBot="1">
      <c r="A1" s="246" t="s">
        <v>339</v>
      </c>
      <c r="B1" s="245" t="s">
        <v>340</v>
      </c>
      <c r="C1" s="248" t="s">
        <v>1451</v>
      </c>
      <c r="D1" s="248" t="s">
        <v>1452</v>
      </c>
      <c r="E1" s="248" t="s">
        <v>512</v>
      </c>
      <c r="F1" s="248" t="s">
        <v>36</v>
      </c>
      <c r="G1" s="248" t="s">
        <v>1453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</row>
    <row r="2" spans="1:13" ht="16.5" thickTop="1">
      <c r="A2" s="83">
        <v>499942</v>
      </c>
      <c r="B2" s="238">
        <v>107525</v>
      </c>
      <c r="C2" s="238" t="s">
        <v>1454</v>
      </c>
      <c r="D2" s="238"/>
      <c r="E2" s="238" t="s">
        <v>513</v>
      </c>
      <c r="F2" s="238" t="s">
        <v>6</v>
      </c>
      <c r="G2" s="238" t="s">
        <v>44</v>
      </c>
      <c r="H2" s="238" t="s">
        <v>344</v>
      </c>
      <c r="I2" s="91" t="s">
        <v>46</v>
      </c>
      <c r="J2" s="239">
        <v>42248</v>
      </c>
      <c r="K2" s="239">
        <v>44651</v>
      </c>
      <c r="L2" s="243">
        <v>500000</v>
      </c>
      <c r="M2" s="84">
        <v>166650</v>
      </c>
    </row>
    <row r="3" spans="1:13" ht="15.75">
      <c r="A3" s="83">
        <v>501333</v>
      </c>
      <c r="B3" s="238">
        <v>207444</v>
      </c>
      <c r="C3" s="238" t="s">
        <v>1455</v>
      </c>
      <c r="D3" s="238"/>
      <c r="E3" s="238" t="s">
        <v>515</v>
      </c>
      <c r="F3" s="238" t="s">
        <v>347</v>
      </c>
      <c r="G3" s="238" t="s">
        <v>348</v>
      </c>
      <c r="H3" s="91" t="s">
        <v>349</v>
      </c>
      <c r="I3" s="91" t="s">
        <v>46</v>
      </c>
      <c r="J3" s="239">
        <v>42614</v>
      </c>
      <c r="K3" s="239">
        <v>43830</v>
      </c>
      <c r="L3" s="243">
        <v>-169.84</v>
      </c>
      <c r="M3" s="243">
        <v>-56.607672000000001</v>
      </c>
    </row>
    <row r="4" spans="1:13" ht="15.75">
      <c r="A4" s="83">
        <v>501337</v>
      </c>
      <c r="B4" s="238">
        <v>208379</v>
      </c>
      <c r="C4" s="238" t="s">
        <v>1456</v>
      </c>
      <c r="D4" s="238" t="s">
        <v>516</v>
      </c>
      <c r="E4" s="238" t="s">
        <v>515</v>
      </c>
      <c r="F4" s="238" t="s">
        <v>347</v>
      </c>
      <c r="G4" s="238" t="s">
        <v>350</v>
      </c>
      <c r="H4" s="91" t="s">
        <v>351</v>
      </c>
      <c r="I4" s="91" t="s">
        <v>46</v>
      </c>
      <c r="J4" s="239">
        <v>42614</v>
      </c>
      <c r="K4" s="239">
        <v>43708</v>
      </c>
      <c r="L4" s="243">
        <v>-47.3</v>
      </c>
      <c r="M4" s="243">
        <v>-15.765089999999999</v>
      </c>
    </row>
    <row r="5" spans="1:13" ht="15.75">
      <c r="A5" s="83">
        <v>501337</v>
      </c>
      <c r="B5" s="238">
        <v>208379</v>
      </c>
      <c r="C5" s="238" t="s">
        <v>1456</v>
      </c>
      <c r="D5" s="238" t="s">
        <v>516</v>
      </c>
      <c r="E5" s="238" t="s">
        <v>515</v>
      </c>
      <c r="F5" s="238" t="s">
        <v>347</v>
      </c>
      <c r="G5" s="238" t="s">
        <v>350</v>
      </c>
      <c r="H5" s="91" t="s">
        <v>351</v>
      </c>
      <c r="I5" s="91" t="s">
        <v>46</v>
      </c>
      <c r="J5" s="239">
        <v>42614</v>
      </c>
      <c r="K5" s="239">
        <v>43708</v>
      </c>
      <c r="L5" s="243">
        <v>-70.84</v>
      </c>
      <c r="M5" s="243">
        <v>-23.610972</v>
      </c>
    </row>
    <row r="6" spans="1:13" ht="15.75">
      <c r="A6" s="83">
        <v>501339</v>
      </c>
      <c r="B6" s="238">
        <v>208379</v>
      </c>
      <c r="C6" s="238" t="s">
        <v>1457</v>
      </c>
      <c r="D6" s="238" t="s">
        <v>516</v>
      </c>
      <c r="E6" s="238" t="s">
        <v>515</v>
      </c>
      <c r="F6" s="238" t="s">
        <v>347</v>
      </c>
      <c r="G6" s="238" t="s">
        <v>350</v>
      </c>
      <c r="H6" s="91" t="s">
        <v>352</v>
      </c>
      <c r="I6" s="91" t="s">
        <v>46</v>
      </c>
      <c r="J6" s="239">
        <v>42614</v>
      </c>
      <c r="K6" s="239">
        <v>43951</v>
      </c>
      <c r="L6" s="243">
        <v>-4.21</v>
      </c>
      <c r="M6" s="243">
        <v>-1.4031929999999999</v>
      </c>
    </row>
    <row r="7" spans="1:13" ht="15.75">
      <c r="A7" s="83">
        <v>501339</v>
      </c>
      <c r="B7" s="238">
        <v>208379</v>
      </c>
      <c r="C7" s="238" t="s">
        <v>1457</v>
      </c>
      <c r="D7" s="238"/>
      <c r="E7" s="238" t="s">
        <v>515</v>
      </c>
      <c r="F7" s="238" t="s">
        <v>347</v>
      </c>
      <c r="G7" s="238" t="s">
        <v>350</v>
      </c>
      <c r="H7" s="91" t="s">
        <v>352</v>
      </c>
      <c r="I7" s="91" t="s">
        <v>46</v>
      </c>
      <c r="J7" s="239">
        <v>42614</v>
      </c>
      <c r="K7" s="239">
        <v>43951</v>
      </c>
      <c r="L7" s="243">
        <v>-338.46</v>
      </c>
      <c r="M7" s="243">
        <v>-112.80871799999998</v>
      </c>
    </row>
    <row r="8" spans="1:13" ht="15.75">
      <c r="A8" s="96">
        <v>502535</v>
      </c>
      <c r="B8" s="83">
        <v>208616</v>
      </c>
      <c r="C8" s="83" t="s">
        <v>1458</v>
      </c>
      <c r="D8" s="83"/>
      <c r="E8" s="83" t="s">
        <v>517</v>
      </c>
      <c r="F8" s="83" t="s">
        <v>488</v>
      </c>
      <c r="G8" s="83" t="s">
        <v>437</v>
      </c>
      <c r="H8" s="238" t="s">
        <v>489</v>
      </c>
      <c r="I8" s="83" t="s">
        <v>53</v>
      </c>
      <c r="J8" s="239">
        <v>43070</v>
      </c>
      <c r="K8" s="239">
        <v>44196</v>
      </c>
      <c r="L8" s="84">
        <v>33333</v>
      </c>
      <c r="M8" s="84">
        <v>11109.8889</v>
      </c>
    </row>
    <row r="9" spans="1:13" ht="15.75">
      <c r="A9" s="96">
        <v>504320</v>
      </c>
      <c r="B9" s="83">
        <v>205554</v>
      </c>
      <c r="C9" s="83" t="s">
        <v>1459</v>
      </c>
      <c r="D9" s="83"/>
      <c r="E9" s="83" t="s">
        <v>517</v>
      </c>
      <c r="F9" s="83" t="s">
        <v>488</v>
      </c>
      <c r="G9" s="83" t="s">
        <v>490</v>
      </c>
      <c r="H9" s="240" t="s">
        <v>491</v>
      </c>
      <c r="I9" s="240" t="s">
        <v>46</v>
      </c>
      <c r="J9" s="239">
        <v>43221</v>
      </c>
      <c r="K9" s="239">
        <v>44286</v>
      </c>
      <c r="L9" s="241">
        <v>50000</v>
      </c>
      <c r="M9" s="84">
        <v>16665</v>
      </c>
    </row>
    <row r="10" spans="1:13" ht="15.75">
      <c r="A10" s="96">
        <v>504321</v>
      </c>
      <c r="B10" s="89">
        <v>205839</v>
      </c>
      <c r="C10" s="89" t="s">
        <v>1460</v>
      </c>
      <c r="D10" s="89"/>
      <c r="E10" s="89" t="s">
        <v>517</v>
      </c>
      <c r="F10" s="89" t="s">
        <v>488</v>
      </c>
      <c r="G10" s="89" t="s">
        <v>492</v>
      </c>
      <c r="H10" s="240" t="s">
        <v>493</v>
      </c>
      <c r="I10" s="240" t="s">
        <v>46</v>
      </c>
      <c r="J10" s="239">
        <v>43191</v>
      </c>
      <c r="K10" s="239">
        <v>44286</v>
      </c>
      <c r="L10" s="241">
        <v>50000</v>
      </c>
      <c r="M10" s="84">
        <v>16665</v>
      </c>
    </row>
    <row r="11" spans="1:13" ht="15.75">
      <c r="A11" s="96">
        <v>504322</v>
      </c>
      <c r="B11" s="83">
        <v>208617</v>
      </c>
      <c r="C11" s="83" t="s">
        <v>1461</v>
      </c>
      <c r="D11" s="83"/>
      <c r="E11" s="83" t="s">
        <v>517</v>
      </c>
      <c r="F11" s="83" t="s">
        <v>488</v>
      </c>
      <c r="G11" s="83" t="s">
        <v>469</v>
      </c>
      <c r="H11" s="240" t="s">
        <v>494</v>
      </c>
      <c r="I11" s="240" t="s">
        <v>68</v>
      </c>
      <c r="J11" s="239">
        <v>43221</v>
      </c>
      <c r="K11" s="239">
        <v>44408</v>
      </c>
      <c r="L11" s="241">
        <v>50000</v>
      </c>
      <c r="M11" s="84">
        <v>16665</v>
      </c>
    </row>
    <row r="12" spans="1:13" ht="15.75">
      <c r="A12" s="96">
        <v>504839</v>
      </c>
      <c r="B12" s="90">
        <v>209210</v>
      </c>
      <c r="C12" s="90" t="s">
        <v>1462</v>
      </c>
      <c r="D12" s="90"/>
      <c r="E12" s="90" t="s">
        <v>518</v>
      </c>
      <c r="F12" s="90" t="s">
        <v>8</v>
      </c>
      <c r="G12" s="90" t="s">
        <v>375</v>
      </c>
      <c r="H12" s="240" t="s">
        <v>446</v>
      </c>
      <c r="I12" s="91" t="s">
        <v>68</v>
      </c>
      <c r="J12" s="239">
        <v>43070</v>
      </c>
      <c r="K12" s="239">
        <v>44530</v>
      </c>
      <c r="L12" s="241">
        <v>87240</v>
      </c>
      <c r="M12" s="84">
        <v>29077.091999999997</v>
      </c>
    </row>
    <row r="13" spans="1:13" ht="15.75">
      <c r="A13" s="96">
        <v>504875</v>
      </c>
      <c r="B13" s="90">
        <v>209210</v>
      </c>
      <c r="C13" s="90" t="s">
        <v>1463</v>
      </c>
      <c r="D13" s="90"/>
      <c r="E13" s="90" t="s">
        <v>518</v>
      </c>
      <c r="F13" s="90" t="s">
        <v>8</v>
      </c>
      <c r="G13" s="90" t="s">
        <v>375</v>
      </c>
      <c r="H13" s="240" t="s">
        <v>446</v>
      </c>
      <c r="I13" s="91" t="s">
        <v>68</v>
      </c>
      <c r="J13" s="239">
        <v>43070</v>
      </c>
      <c r="K13" s="239">
        <v>44530</v>
      </c>
      <c r="L13" s="241">
        <v>47500</v>
      </c>
      <c r="M13" s="84">
        <v>15831.75</v>
      </c>
    </row>
    <row r="14" spans="1:13" ht="15.75">
      <c r="A14" s="96">
        <v>505082</v>
      </c>
      <c r="B14" s="83">
        <v>212504</v>
      </c>
      <c r="C14" s="83" t="s">
        <v>1464</v>
      </c>
      <c r="D14" s="83"/>
      <c r="E14" s="83" t="s">
        <v>517</v>
      </c>
      <c r="F14" s="83" t="s">
        <v>488</v>
      </c>
      <c r="G14" s="83" t="s">
        <v>371</v>
      </c>
      <c r="H14" s="240" t="s">
        <v>495</v>
      </c>
      <c r="I14" s="91" t="s">
        <v>68</v>
      </c>
      <c r="J14" s="239">
        <v>43191</v>
      </c>
      <c r="K14" s="239">
        <v>44286</v>
      </c>
      <c r="L14" s="241">
        <v>50000</v>
      </c>
      <c r="M14" s="84">
        <v>16665</v>
      </c>
    </row>
    <row r="15" spans="1:13" ht="15.75">
      <c r="A15" s="96">
        <v>505362</v>
      </c>
      <c r="B15" s="238">
        <v>209346</v>
      </c>
      <c r="C15" s="238" t="s">
        <v>1465</v>
      </c>
      <c r="D15" s="238"/>
      <c r="E15" s="238" t="s">
        <v>518</v>
      </c>
      <c r="F15" s="238" t="s">
        <v>8</v>
      </c>
      <c r="G15" s="238" t="s">
        <v>442</v>
      </c>
      <c r="H15" s="240" t="s">
        <v>447</v>
      </c>
      <c r="I15" s="91" t="s">
        <v>53</v>
      </c>
      <c r="J15" s="239">
        <v>43282</v>
      </c>
      <c r="K15" s="239">
        <v>44377</v>
      </c>
      <c r="L15" s="241">
        <v>150000</v>
      </c>
      <c r="M15" s="84">
        <v>49995</v>
      </c>
    </row>
    <row r="16" spans="1:13" ht="15.75">
      <c r="A16" s="96">
        <v>505749</v>
      </c>
      <c r="B16" s="238">
        <v>209403</v>
      </c>
      <c r="C16" s="238" t="s">
        <v>1466</v>
      </c>
      <c r="D16" s="238"/>
      <c r="E16" s="238" t="s">
        <v>518</v>
      </c>
      <c r="F16" s="238" t="s">
        <v>8</v>
      </c>
      <c r="G16" s="238" t="s">
        <v>448</v>
      </c>
      <c r="H16" s="240" t="s">
        <v>449</v>
      </c>
      <c r="I16" s="91" t="s">
        <v>53</v>
      </c>
      <c r="J16" s="239">
        <v>43313</v>
      </c>
      <c r="K16" s="239">
        <v>44408</v>
      </c>
      <c r="L16" s="241">
        <v>62500</v>
      </c>
      <c r="M16" s="84">
        <v>20831.25</v>
      </c>
    </row>
    <row r="17" spans="1:13" ht="15.75">
      <c r="A17" s="96">
        <v>506448</v>
      </c>
      <c r="B17" s="238">
        <v>208217</v>
      </c>
      <c r="C17" s="238" t="s">
        <v>1467</v>
      </c>
      <c r="D17" s="238"/>
      <c r="E17" s="238" t="s">
        <v>517</v>
      </c>
      <c r="F17" s="238" t="s">
        <v>488</v>
      </c>
      <c r="G17" s="238" t="s">
        <v>496</v>
      </c>
      <c r="H17" s="240" t="s">
        <v>497</v>
      </c>
      <c r="I17" s="240" t="s">
        <v>46</v>
      </c>
      <c r="J17" s="239">
        <v>43556</v>
      </c>
      <c r="K17" s="239">
        <v>44286</v>
      </c>
      <c r="L17" s="241">
        <v>50000</v>
      </c>
      <c r="M17" s="84">
        <v>16665</v>
      </c>
    </row>
    <row r="18" spans="1:13" ht="15.75">
      <c r="A18" s="96">
        <v>506449</v>
      </c>
      <c r="B18" s="238">
        <v>203820</v>
      </c>
      <c r="C18" s="238" t="s">
        <v>1468</v>
      </c>
      <c r="D18" s="238"/>
      <c r="E18" s="238" t="s">
        <v>517</v>
      </c>
      <c r="F18" s="238" t="s">
        <v>488</v>
      </c>
      <c r="G18" s="238" t="s">
        <v>369</v>
      </c>
      <c r="H18" s="240" t="s">
        <v>498</v>
      </c>
      <c r="I18" s="240" t="s">
        <v>46</v>
      </c>
      <c r="J18" s="239">
        <v>43556</v>
      </c>
      <c r="K18" s="239">
        <v>44286</v>
      </c>
      <c r="L18" s="241">
        <v>50000</v>
      </c>
      <c r="M18" s="84">
        <v>16665</v>
      </c>
    </row>
    <row r="19" spans="1:13" ht="15.75">
      <c r="A19" s="96">
        <v>506450</v>
      </c>
      <c r="B19" s="238">
        <v>208620</v>
      </c>
      <c r="C19" s="238" t="s">
        <v>1469</v>
      </c>
      <c r="D19" s="238"/>
      <c r="E19" s="238" t="s">
        <v>517</v>
      </c>
      <c r="F19" s="238" t="s">
        <v>488</v>
      </c>
      <c r="G19" s="238" t="s">
        <v>499</v>
      </c>
      <c r="H19" s="240" t="s">
        <v>500</v>
      </c>
      <c r="I19" s="240" t="s">
        <v>82</v>
      </c>
      <c r="J19" s="239">
        <v>43556</v>
      </c>
      <c r="K19" s="239">
        <v>44651</v>
      </c>
      <c r="L19" s="241">
        <v>50000</v>
      </c>
      <c r="M19" s="84">
        <v>16665</v>
      </c>
    </row>
    <row r="20" spans="1:13" ht="15.75">
      <c r="A20" s="96">
        <v>506451</v>
      </c>
      <c r="B20" s="238">
        <v>207233</v>
      </c>
      <c r="C20" s="238" t="s">
        <v>1470</v>
      </c>
      <c r="D20" s="238"/>
      <c r="E20" s="238" t="s">
        <v>517</v>
      </c>
      <c r="F20" s="238" t="s">
        <v>488</v>
      </c>
      <c r="G20" s="238" t="s">
        <v>373</v>
      </c>
      <c r="H20" s="240" t="s">
        <v>501</v>
      </c>
      <c r="I20" s="240" t="s">
        <v>46</v>
      </c>
      <c r="J20" s="239">
        <v>43556</v>
      </c>
      <c r="K20" s="239">
        <v>44651</v>
      </c>
      <c r="L20" s="241">
        <v>50000</v>
      </c>
      <c r="M20" s="84">
        <v>16665</v>
      </c>
    </row>
    <row r="21" spans="1:13" ht="15.75">
      <c r="A21" s="83">
        <v>506456</v>
      </c>
      <c r="B21" s="238">
        <v>207032</v>
      </c>
      <c r="C21" s="238" t="s">
        <v>1471</v>
      </c>
      <c r="D21" s="238"/>
      <c r="E21" s="238" t="s">
        <v>19</v>
      </c>
      <c r="F21" s="238" t="s">
        <v>19</v>
      </c>
      <c r="G21" s="238" t="s">
        <v>455</v>
      </c>
      <c r="H21" s="91" t="s">
        <v>456</v>
      </c>
      <c r="I21" s="91" t="s">
        <v>46</v>
      </c>
      <c r="J21" s="239">
        <v>43556</v>
      </c>
      <c r="K21" s="239">
        <v>44561</v>
      </c>
      <c r="L21" s="243">
        <v>50000</v>
      </c>
      <c r="M21" s="243">
        <v>16665</v>
      </c>
    </row>
    <row r="22" spans="1:13" ht="15.75">
      <c r="A22" s="83">
        <v>506456</v>
      </c>
      <c r="B22" s="238">
        <v>209438</v>
      </c>
      <c r="C22" s="238" t="s">
        <v>1472</v>
      </c>
      <c r="D22" s="238"/>
      <c r="E22" s="238" t="s">
        <v>19</v>
      </c>
      <c r="F22" s="238" t="s">
        <v>19</v>
      </c>
      <c r="G22" s="238" t="s">
        <v>457</v>
      </c>
      <c r="H22" s="91" t="s">
        <v>458</v>
      </c>
      <c r="I22" s="91" t="s">
        <v>46</v>
      </c>
      <c r="J22" s="239">
        <v>43556</v>
      </c>
      <c r="K22" s="239">
        <v>44561</v>
      </c>
      <c r="L22" s="243">
        <v>50000</v>
      </c>
      <c r="M22" s="243">
        <v>16665</v>
      </c>
    </row>
    <row r="23" spans="1:13" ht="15.75">
      <c r="A23" s="242">
        <v>506457</v>
      </c>
      <c r="B23" s="242">
        <v>208406</v>
      </c>
      <c r="C23" s="242" t="s">
        <v>1473</v>
      </c>
      <c r="D23" s="242"/>
      <c r="E23" s="242" t="s">
        <v>19</v>
      </c>
      <c r="F23" s="242" t="s">
        <v>19</v>
      </c>
      <c r="G23" s="242" t="s">
        <v>459</v>
      </c>
      <c r="H23" s="240" t="s">
        <v>460</v>
      </c>
      <c r="I23" s="91" t="s">
        <v>68</v>
      </c>
      <c r="J23" s="239">
        <v>43556</v>
      </c>
      <c r="K23" s="239">
        <v>44377</v>
      </c>
      <c r="L23" s="241">
        <v>25000</v>
      </c>
      <c r="M23" s="84">
        <v>8332.5</v>
      </c>
    </row>
    <row r="24" spans="1:13" ht="15.75">
      <c r="A24" s="242">
        <v>506457</v>
      </c>
      <c r="B24" s="242">
        <v>212361</v>
      </c>
      <c r="C24" s="242" t="s">
        <v>1474</v>
      </c>
      <c r="D24" s="242"/>
      <c r="E24" s="242" t="s">
        <v>19</v>
      </c>
      <c r="F24" s="242" t="s">
        <v>19</v>
      </c>
      <c r="G24" s="242" t="s">
        <v>379</v>
      </c>
      <c r="H24" s="240" t="s">
        <v>461</v>
      </c>
      <c r="I24" s="91" t="s">
        <v>46</v>
      </c>
      <c r="J24" s="239">
        <v>43556</v>
      </c>
      <c r="K24" s="239">
        <v>44377</v>
      </c>
      <c r="L24" s="241">
        <v>75000</v>
      </c>
      <c r="M24" s="84">
        <v>24997.5</v>
      </c>
    </row>
    <row r="25" spans="1:13" ht="15.75">
      <c r="A25" s="242">
        <v>506458</v>
      </c>
      <c r="B25" s="83">
        <v>205547</v>
      </c>
      <c r="C25" s="83" t="s">
        <v>1475</v>
      </c>
      <c r="D25" s="83"/>
      <c r="E25" s="83" t="s">
        <v>19</v>
      </c>
      <c r="F25" s="83" t="s">
        <v>19</v>
      </c>
      <c r="G25" s="83" t="s">
        <v>462</v>
      </c>
      <c r="H25" s="240" t="s">
        <v>463</v>
      </c>
      <c r="I25" s="91" t="s">
        <v>46</v>
      </c>
      <c r="J25" s="239">
        <v>43556</v>
      </c>
      <c r="K25" s="239">
        <v>44377</v>
      </c>
      <c r="L25" s="241">
        <v>26980</v>
      </c>
      <c r="M25" s="84">
        <v>8992.4339999999993</v>
      </c>
    </row>
    <row r="26" spans="1:13" ht="15.75">
      <c r="A26" s="242">
        <v>506458</v>
      </c>
      <c r="B26" s="83">
        <v>212183</v>
      </c>
      <c r="C26" s="83" t="s">
        <v>1476</v>
      </c>
      <c r="D26" s="83"/>
      <c r="E26" s="83" t="s">
        <v>19</v>
      </c>
      <c r="F26" s="83" t="s">
        <v>19</v>
      </c>
      <c r="G26" s="83" t="s">
        <v>464</v>
      </c>
      <c r="H26" s="240" t="s">
        <v>465</v>
      </c>
      <c r="I26" s="91" t="s">
        <v>68</v>
      </c>
      <c r="J26" s="239">
        <v>43556</v>
      </c>
      <c r="K26" s="239">
        <v>44377</v>
      </c>
      <c r="L26" s="241">
        <v>71385</v>
      </c>
      <c r="M26" s="84">
        <v>23792.620499999997</v>
      </c>
    </row>
    <row r="27" spans="1:13" ht="15.75">
      <c r="A27" s="242">
        <v>506459</v>
      </c>
      <c r="B27" s="238">
        <v>205993</v>
      </c>
      <c r="C27" s="238" t="s">
        <v>1477</v>
      </c>
      <c r="D27" s="238"/>
      <c r="E27" s="238" t="s">
        <v>19</v>
      </c>
      <c r="F27" s="238" t="s">
        <v>19</v>
      </c>
      <c r="G27" s="238" t="s">
        <v>466</v>
      </c>
      <c r="H27" s="240" t="s">
        <v>467</v>
      </c>
      <c r="I27" s="91" t="s">
        <v>46</v>
      </c>
      <c r="J27" s="239">
        <v>43556</v>
      </c>
      <c r="K27" s="239">
        <v>44377</v>
      </c>
      <c r="L27" s="241">
        <v>36000</v>
      </c>
      <c r="M27" s="84">
        <v>11998.8</v>
      </c>
    </row>
    <row r="28" spans="1:13" ht="15.75">
      <c r="A28" s="242">
        <v>506459</v>
      </c>
      <c r="B28" s="238">
        <v>208379</v>
      </c>
      <c r="C28" s="238" t="s">
        <v>1478</v>
      </c>
      <c r="D28" s="238"/>
      <c r="E28" s="238" t="s">
        <v>19</v>
      </c>
      <c r="F28" s="238" t="s">
        <v>19</v>
      </c>
      <c r="G28" s="238" t="s">
        <v>350</v>
      </c>
      <c r="H28" s="238" t="s">
        <v>1479</v>
      </c>
      <c r="I28" s="88" t="s">
        <v>46</v>
      </c>
      <c r="J28" s="239">
        <v>43556</v>
      </c>
      <c r="K28" s="239">
        <v>44377</v>
      </c>
      <c r="L28" s="243">
        <v>21000</v>
      </c>
      <c r="M28" s="84">
        <v>6999.2999999999993</v>
      </c>
    </row>
    <row r="29" spans="1:13" ht="15.75">
      <c r="A29" s="242">
        <v>506459</v>
      </c>
      <c r="B29" s="238">
        <v>208617</v>
      </c>
      <c r="C29" s="238" t="s">
        <v>1480</v>
      </c>
      <c r="D29" s="238"/>
      <c r="E29" s="238" t="s">
        <v>19</v>
      </c>
      <c r="F29" s="238" t="s">
        <v>19</v>
      </c>
      <c r="G29" s="238" t="s">
        <v>469</v>
      </c>
      <c r="H29" s="238" t="s">
        <v>470</v>
      </c>
      <c r="I29" s="83" t="s">
        <v>68</v>
      </c>
      <c r="J29" s="239">
        <v>43556</v>
      </c>
      <c r="K29" s="239">
        <v>44377</v>
      </c>
      <c r="L29" s="241">
        <v>30000</v>
      </c>
      <c r="M29" s="84">
        <v>9999</v>
      </c>
    </row>
    <row r="30" spans="1:13" ht="15.75">
      <c r="A30" s="83">
        <v>507637</v>
      </c>
      <c r="B30" s="238">
        <v>206014</v>
      </c>
      <c r="C30" s="238" t="s">
        <v>1481</v>
      </c>
      <c r="D30" s="238"/>
      <c r="E30" s="238" t="s">
        <v>519</v>
      </c>
      <c r="F30" s="238" t="s">
        <v>353</v>
      </c>
      <c r="G30" s="238" t="s">
        <v>354</v>
      </c>
      <c r="H30" s="91" t="s">
        <v>355</v>
      </c>
      <c r="I30" s="91" t="s">
        <v>46</v>
      </c>
      <c r="J30" s="239">
        <v>43709</v>
      </c>
      <c r="K30" s="239">
        <v>44530</v>
      </c>
      <c r="L30" s="84">
        <v>40800</v>
      </c>
      <c r="M30" s="84">
        <v>13598.64</v>
      </c>
    </row>
    <row r="31" spans="1:13" ht="15.75">
      <c r="A31" s="83">
        <v>507637</v>
      </c>
      <c r="B31" s="238">
        <v>207636</v>
      </c>
      <c r="C31" s="238" t="s">
        <v>1482</v>
      </c>
      <c r="D31" s="238"/>
      <c r="E31" s="238" t="s">
        <v>519</v>
      </c>
      <c r="F31" s="238" t="s">
        <v>353</v>
      </c>
      <c r="G31" s="238" t="s">
        <v>358</v>
      </c>
      <c r="H31" s="91" t="s">
        <v>359</v>
      </c>
      <c r="I31" s="91" t="s">
        <v>46</v>
      </c>
      <c r="J31" s="239">
        <v>43709</v>
      </c>
      <c r="K31" s="239">
        <v>44530</v>
      </c>
      <c r="L31" s="243">
        <v>85000</v>
      </c>
      <c r="M31" s="243">
        <v>28330.5</v>
      </c>
    </row>
    <row r="32" spans="1:13" ht="15.75">
      <c r="A32" s="83">
        <v>507637</v>
      </c>
      <c r="B32" s="238">
        <v>208625</v>
      </c>
      <c r="C32" s="238" t="s">
        <v>1483</v>
      </c>
      <c r="D32" s="238"/>
      <c r="E32" s="238" t="s">
        <v>519</v>
      </c>
      <c r="F32" s="238" t="s">
        <v>353</v>
      </c>
      <c r="G32" s="238" t="s">
        <v>366</v>
      </c>
      <c r="H32" s="91" t="s">
        <v>367</v>
      </c>
      <c r="I32" s="91" t="s">
        <v>53</v>
      </c>
      <c r="J32" s="239">
        <v>43709</v>
      </c>
      <c r="K32" s="239">
        <v>44530</v>
      </c>
      <c r="L32" s="243">
        <v>63750</v>
      </c>
      <c r="M32" s="243">
        <v>21247.875</v>
      </c>
    </row>
    <row r="33" spans="1:13" ht="15.75">
      <c r="A33" s="83">
        <v>507637</v>
      </c>
      <c r="B33" s="238">
        <v>208728</v>
      </c>
      <c r="C33" s="238" t="s">
        <v>1484</v>
      </c>
      <c r="D33" s="238"/>
      <c r="E33" s="238" t="s">
        <v>519</v>
      </c>
      <c r="F33" s="238" t="s">
        <v>353</v>
      </c>
      <c r="G33" s="238" t="s">
        <v>342</v>
      </c>
      <c r="H33" s="91" t="s">
        <v>362</v>
      </c>
      <c r="I33" s="91" t="s">
        <v>53</v>
      </c>
      <c r="J33" s="239">
        <v>43709</v>
      </c>
      <c r="K33" s="239">
        <v>44530</v>
      </c>
      <c r="L33" s="243">
        <v>378100</v>
      </c>
      <c r="M33" s="243">
        <v>126020.73</v>
      </c>
    </row>
    <row r="34" spans="1:13" ht="15.75">
      <c r="A34" s="83">
        <v>507637</v>
      </c>
      <c r="B34" s="238">
        <v>209491</v>
      </c>
      <c r="C34" s="238" t="s">
        <v>1485</v>
      </c>
      <c r="D34" s="238"/>
      <c r="E34" s="238" t="s">
        <v>519</v>
      </c>
      <c r="F34" s="238" t="s">
        <v>353</v>
      </c>
      <c r="G34" s="238" t="s">
        <v>363</v>
      </c>
      <c r="H34" s="91" t="s">
        <v>238</v>
      </c>
      <c r="I34" s="86" t="s">
        <v>75</v>
      </c>
      <c r="J34" s="239">
        <v>43709</v>
      </c>
      <c r="K34" s="239">
        <v>44530</v>
      </c>
      <c r="L34" s="243">
        <v>153000</v>
      </c>
      <c r="M34" s="243">
        <v>50994.899999999994</v>
      </c>
    </row>
    <row r="35" spans="1:13" ht="15.75">
      <c r="A35" s="83">
        <v>507637</v>
      </c>
      <c r="B35" s="238">
        <v>209660</v>
      </c>
      <c r="C35" s="238" t="s">
        <v>1486</v>
      </c>
      <c r="D35" s="238"/>
      <c r="E35" s="238" t="s">
        <v>519</v>
      </c>
      <c r="F35" s="238" t="s">
        <v>353</v>
      </c>
      <c r="G35" s="238" t="s">
        <v>360</v>
      </c>
      <c r="H35" s="91" t="s">
        <v>361</v>
      </c>
      <c r="I35" s="91" t="s">
        <v>68</v>
      </c>
      <c r="J35" s="239">
        <v>43709</v>
      </c>
      <c r="K35" s="239">
        <v>44530</v>
      </c>
      <c r="L35" s="243">
        <v>74800</v>
      </c>
      <c r="M35" s="243">
        <v>24930.84</v>
      </c>
    </row>
    <row r="36" spans="1:13" ht="15.75">
      <c r="A36" s="83">
        <v>507637</v>
      </c>
      <c r="B36" s="238">
        <v>211152</v>
      </c>
      <c r="C36" s="238" t="s">
        <v>1487</v>
      </c>
      <c r="D36" s="238"/>
      <c r="E36" s="238" t="s">
        <v>519</v>
      </c>
      <c r="F36" s="238" t="s">
        <v>353</v>
      </c>
      <c r="G36" s="238" t="s">
        <v>364</v>
      </c>
      <c r="H36" s="91" t="s">
        <v>365</v>
      </c>
      <c r="I36" s="91" t="s">
        <v>46</v>
      </c>
      <c r="J36" s="239">
        <v>43709</v>
      </c>
      <c r="K36" s="239">
        <v>44530</v>
      </c>
      <c r="L36" s="243">
        <v>40800</v>
      </c>
      <c r="M36" s="84">
        <v>13598.64</v>
      </c>
    </row>
    <row r="37" spans="1:13" ht="15.75">
      <c r="A37" s="83">
        <v>507637</v>
      </c>
      <c r="B37" s="238">
        <v>212636</v>
      </c>
      <c r="C37" s="238" t="s">
        <v>1488</v>
      </c>
      <c r="D37" s="238"/>
      <c r="E37" s="238" t="s">
        <v>519</v>
      </c>
      <c r="F37" s="238" t="s">
        <v>353</v>
      </c>
      <c r="G37" s="238" t="s">
        <v>356</v>
      </c>
      <c r="H37" s="91" t="s">
        <v>357</v>
      </c>
      <c r="I37" s="91" t="s">
        <v>53</v>
      </c>
      <c r="J37" s="239">
        <v>43709</v>
      </c>
      <c r="K37" s="239">
        <v>44530</v>
      </c>
      <c r="L37" s="243">
        <v>63750</v>
      </c>
      <c r="M37" s="243">
        <v>21247.875</v>
      </c>
    </row>
    <row r="38" spans="1:13" ht="15.75">
      <c r="A38" s="83">
        <v>507638</v>
      </c>
      <c r="B38" s="238">
        <v>203770</v>
      </c>
      <c r="C38" s="238" t="s">
        <v>1489</v>
      </c>
      <c r="D38" s="238"/>
      <c r="E38" s="238" t="s">
        <v>519</v>
      </c>
      <c r="F38" s="238" t="s">
        <v>353</v>
      </c>
      <c r="G38" s="238" t="s">
        <v>374</v>
      </c>
      <c r="H38" s="91" t="s">
        <v>259</v>
      </c>
      <c r="I38" s="83" t="s">
        <v>260</v>
      </c>
      <c r="J38" s="239">
        <v>43709</v>
      </c>
      <c r="K38" s="239">
        <v>44530</v>
      </c>
      <c r="L38" s="243">
        <v>40000</v>
      </c>
      <c r="M38" s="243">
        <v>13332</v>
      </c>
    </row>
    <row r="39" spans="1:13" ht="15.75">
      <c r="A39" s="83">
        <v>507638</v>
      </c>
      <c r="B39" s="238">
        <v>203820</v>
      </c>
      <c r="C39" s="238" t="s">
        <v>1490</v>
      </c>
      <c r="D39" s="238"/>
      <c r="E39" s="238" t="s">
        <v>519</v>
      </c>
      <c r="F39" s="238" t="s">
        <v>353</v>
      </c>
      <c r="G39" s="238" t="s">
        <v>369</v>
      </c>
      <c r="H39" s="91" t="s">
        <v>257</v>
      </c>
      <c r="I39" s="91" t="s">
        <v>46</v>
      </c>
      <c r="J39" s="239">
        <v>43709</v>
      </c>
      <c r="K39" s="239">
        <v>44530</v>
      </c>
      <c r="L39" s="243">
        <v>30000</v>
      </c>
      <c r="M39" s="243">
        <v>9999</v>
      </c>
    </row>
    <row r="40" spans="1:13" ht="15.75">
      <c r="A40" s="83">
        <v>507638</v>
      </c>
      <c r="B40" s="238">
        <v>206595</v>
      </c>
      <c r="C40" s="238" t="s">
        <v>1491</v>
      </c>
      <c r="D40" s="238"/>
      <c r="E40" s="238" t="s">
        <v>519</v>
      </c>
      <c r="F40" s="238" t="s">
        <v>353</v>
      </c>
      <c r="G40" s="238" t="s">
        <v>368</v>
      </c>
      <c r="H40" s="91" t="s">
        <v>253</v>
      </c>
      <c r="I40" s="91" t="s">
        <v>46</v>
      </c>
      <c r="J40" s="239">
        <v>43709</v>
      </c>
      <c r="K40" s="239">
        <v>44530</v>
      </c>
      <c r="L40" s="243">
        <v>133750</v>
      </c>
      <c r="M40" s="243">
        <v>44578.875</v>
      </c>
    </row>
    <row r="41" spans="1:13" ht="15.75">
      <c r="A41" s="83">
        <v>507638</v>
      </c>
      <c r="B41" s="238">
        <v>207233</v>
      </c>
      <c r="C41" s="238" t="s">
        <v>1492</v>
      </c>
      <c r="D41" s="238"/>
      <c r="E41" s="238" t="s">
        <v>519</v>
      </c>
      <c r="F41" s="238" t="s">
        <v>353</v>
      </c>
      <c r="G41" s="238" t="s">
        <v>373</v>
      </c>
      <c r="H41" s="91" t="s">
        <v>248</v>
      </c>
      <c r="I41" s="91" t="s">
        <v>46</v>
      </c>
      <c r="J41" s="239">
        <v>43709</v>
      </c>
      <c r="K41" s="239">
        <v>44530</v>
      </c>
      <c r="L41" s="243">
        <v>133250</v>
      </c>
      <c r="M41" s="243">
        <v>44412.224999999999</v>
      </c>
    </row>
    <row r="42" spans="1:13" ht="15.75">
      <c r="A42" s="83">
        <v>507638</v>
      </c>
      <c r="B42" s="238">
        <v>207444</v>
      </c>
      <c r="C42" s="238" t="s">
        <v>1493</v>
      </c>
      <c r="D42" s="238"/>
      <c r="E42" s="238" t="s">
        <v>519</v>
      </c>
      <c r="F42" s="238" t="s">
        <v>353</v>
      </c>
      <c r="G42" s="238" t="s">
        <v>348</v>
      </c>
      <c r="H42" s="91" t="s">
        <v>249</v>
      </c>
      <c r="I42" s="91" t="s">
        <v>46</v>
      </c>
      <c r="J42" s="239">
        <v>43709</v>
      </c>
      <c r="K42" s="239">
        <v>44530</v>
      </c>
      <c r="L42" s="243">
        <v>100000</v>
      </c>
      <c r="M42" s="243">
        <v>33330</v>
      </c>
    </row>
    <row r="43" spans="1:13" ht="15.75">
      <c r="A43" s="83">
        <v>507638</v>
      </c>
      <c r="B43" s="238">
        <v>209210</v>
      </c>
      <c r="C43" s="238" t="s">
        <v>1494</v>
      </c>
      <c r="D43" s="238"/>
      <c r="E43" s="238" t="s">
        <v>519</v>
      </c>
      <c r="F43" s="238" t="s">
        <v>353</v>
      </c>
      <c r="G43" s="238" t="s">
        <v>375</v>
      </c>
      <c r="H43" s="91" t="s">
        <v>252</v>
      </c>
      <c r="I43" s="91" t="s">
        <v>68</v>
      </c>
      <c r="J43" s="239">
        <v>43709</v>
      </c>
      <c r="K43" s="239">
        <v>44530</v>
      </c>
      <c r="L43" s="243">
        <v>62000</v>
      </c>
      <c r="M43" s="243">
        <v>20664.599999999999</v>
      </c>
    </row>
    <row r="44" spans="1:13" ht="15.75">
      <c r="A44" s="83">
        <v>507638</v>
      </c>
      <c r="B44" s="238">
        <v>211256</v>
      </c>
      <c r="C44" s="238" t="s">
        <v>1495</v>
      </c>
      <c r="D44" s="238"/>
      <c r="E44" s="238" t="s">
        <v>519</v>
      </c>
      <c r="F44" s="238" t="s">
        <v>353</v>
      </c>
      <c r="G44" s="238" t="s">
        <v>370</v>
      </c>
      <c r="H44" s="91" t="s">
        <v>251</v>
      </c>
      <c r="I44" s="91" t="s">
        <v>68</v>
      </c>
      <c r="J44" s="239">
        <v>43709</v>
      </c>
      <c r="K44" s="239">
        <v>44530</v>
      </c>
      <c r="L44" s="243">
        <v>132500</v>
      </c>
      <c r="M44" s="243">
        <v>44162.25</v>
      </c>
    </row>
    <row r="45" spans="1:13" ht="15.75">
      <c r="A45" s="83">
        <v>507638</v>
      </c>
      <c r="B45" s="238">
        <v>211963</v>
      </c>
      <c r="C45" s="238" t="s">
        <v>1496</v>
      </c>
      <c r="D45" s="238"/>
      <c r="E45" s="238" t="s">
        <v>519</v>
      </c>
      <c r="F45" s="238" t="s">
        <v>353</v>
      </c>
      <c r="G45" s="238" t="s">
        <v>372</v>
      </c>
      <c r="H45" s="91" t="s">
        <v>247</v>
      </c>
      <c r="I45" s="91" t="s">
        <v>46</v>
      </c>
      <c r="J45" s="239">
        <v>43709</v>
      </c>
      <c r="K45" s="239">
        <v>44530</v>
      </c>
      <c r="L45" s="243">
        <v>133500</v>
      </c>
      <c r="M45" s="243">
        <v>44495.549999999996</v>
      </c>
    </row>
    <row r="46" spans="1:13" ht="15.75">
      <c r="A46" s="83">
        <v>507638</v>
      </c>
      <c r="B46" s="238">
        <v>212504</v>
      </c>
      <c r="C46" s="238" t="s">
        <v>1497</v>
      </c>
      <c r="D46" s="238"/>
      <c r="E46" s="238" t="s">
        <v>519</v>
      </c>
      <c r="F46" s="238" t="s">
        <v>353</v>
      </c>
      <c r="G46" s="238" t="s">
        <v>371</v>
      </c>
      <c r="H46" s="91" t="s">
        <v>256</v>
      </c>
      <c r="I46" s="91" t="s">
        <v>68</v>
      </c>
      <c r="J46" s="239">
        <v>43709</v>
      </c>
      <c r="K46" s="239">
        <v>44530</v>
      </c>
      <c r="L46" s="243">
        <v>133500</v>
      </c>
      <c r="M46" s="243">
        <v>44495.549999999996</v>
      </c>
    </row>
    <row r="47" spans="1:13" ht="15.75">
      <c r="A47" s="83">
        <v>507639</v>
      </c>
      <c r="B47" s="238">
        <v>206147</v>
      </c>
      <c r="C47" s="238" t="s">
        <v>1498</v>
      </c>
      <c r="D47" s="238"/>
      <c r="E47" s="238" t="s">
        <v>519</v>
      </c>
      <c r="F47" s="238" t="s">
        <v>353</v>
      </c>
      <c r="G47" s="238" t="s">
        <v>381</v>
      </c>
      <c r="H47" s="91" t="s">
        <v>261</v>
      </c>
      <c r="I47" s="91" t="s">
        <v>46</v>
      </c>
      <c r="J47" s="239">
        <v>43709</v>
      </c>
      <c r="K47" s="239">
        <v>44530</v>
      </c>
      <c r="L47" s="243">
        <v>240000</v>
      </c>
      <c r="M47" s="243">
        <v>79992</v>
      </c>
    </row>
    <row r="48" spans="1:13" ht="15.75">
      <c r="A48" s="83">
        <v>507639</v>
      </c>
      <c r="B48" s="238">
        <v>206205</v>
      </c>
      <c r="C48" s="238" t="s">
        <v>1499</v>
      </c>
      <c r="D48" s="238"/>
      <c r="E48" s="238" t="s">
        <v>519</v>
      </c>
      <c r="F48" s="238" t="s">
        <v>353</v>
      </c>
      <c r="G48" s="238" t="s">
        <v>378</v>
      </c>
      <c r="H48" s="91" t="s">
        <v>266</v>
      </c>
      <c r="I48" s="91" t="s">
        <v>46</v>
      </c>
      <c r="J48" s="239">
        <v>43709</v>
      </c>
      <c r="K48" s="239">
        <v>44530</v>
      </c>
      <c r="L48" s="243">
        <v>240000</v>
      </c>
      <c r="M48" s="243">
        <v>79992</v>
      </c>
    </row>
    <row r="49" spans="1:13" ht="15.75">
      <c r="A49" s="83">
        <v>507639</v>
      </c>
      <c r="B49" s="238">
        <v>206595</v>
      </c>
      <c r="C49" s="238" t="s">
        <v>1500</v>
      </c>
      <c r="D49" s="238"/>
      <c r="E49" s="238" t="s">
        <v>519</v>
      </c>
      <c r="F49" s="238" t="s">
        <v>353</v>
      </c>
      <c r="G49" s="238" t="s">
        <v>368</v>
      </c>
      <c r="H49" s="91" t="s">
        <v>376</v>
      </c>
      <c r="I49" s="91" t="s">
        <v>46</v>
      </c>
      <c r="J49" s="239">
        <v>43709</v>
      </c>
      <c r="K49" s="239">
        <v>44530</v>
      </c>
      <c r="L49" s="243">
        <v>40000</v>
      </c>
      <c r="M49" s="243">
        <v>13332</v>
      </c>
    </row>
    <row r="50" spans="1:13" ht="15.75">
      <c r="A50" s="83">
        <v>507639</v>
      </c>
      <c r="B50" s="238">
        <v>208379</v>
      </c>
      <c r="C50" s="238" t="s">
        <v>1501</v>
      </c>
      <c r="D50" s="238"/>
      <c r="E50" s="238" t="s">
        <v>519</v>
      </c>
      <c r="F50" s="238" t="s">
        <v>353</v>
      </c>
      <c r="G50" s="238" t="s">
        <v>350</v>
      </c>
      <c r="H50" s="91" t="s">
        <v>267</v>
      </c>
      <c r="I50" s="91" t="s">
        <v>46</v>
      </c>
      <c r="J50" s="239">
        <v>43709</v>
      </c>
      <c r="K50" s="239">
        <v>44530</v>
      </c>
      <c r="L50" s="243">
        <v>80000</v>
      </c>
      <c r="M50" s="243">
        <v>26664</v>
      </c>
    </row>
    <row r="51" spans="1:13" ht="15.75">
      <c r="A51" s="83">
        <v>507639</v>
      </c>
      <c r="B51" s="238">
        <v>210174</v>
      </c>
      <c r="C51" s="238" t="s">
        <v>1502</v>
      </c>
      <c r="D51" s="238" t="s">
        <v>516</v>
      </c>
      <c r="E51" s="238" t="s">
        <v>519</v>
      </c>
      <c r="F51" s="238" t="s">
        <v>353</v>
      </c>
      <c r="G51" s="238" t="s">
        <v>377</v>
      </c>
      <c r="H51" s="91" t="s">
        <v>263</v>
      </c>
      <c r="I51" s="91" t="s">
        <v>46</v>
      </c>
      <c r="J51" s="239">
        <v>43709</v>
      </c>
      <c r="K51" s="239">
        <v>44530</v>
      </c>
      <c r="L51" s="243">
        <v>8750</v>
      </c>
      <c r="M51" s="243">
        <v>2916.375</v>
      </c>
    </row>
    <row r="52" spans="1:13" ht="15.75">
      <c r="A52" s="83">
        <v>507639</v>
      </c>
      <c r="B52" s="238">
        <v>210174</v>
      </c>
      <c r="C52" s="238" t="s">
        <v>1502</v>
      </c>
      <c r="D52" s="238"/>
      <c r="E52" s="238" t="s">
        <v>519</v>
      </c>
      <c r="F52" s="238" t="s">
        <v>353</v>
      </c>
      <c r="G52" s="238" t="s">
        <v>377</v>
      </c>
      <c r="H52" s="91" t="s">
        <v>263</v>
      </c>
      <c r="I52" s="91" t="s">
        <v>46</v>
      </c>
      <c r="J52" s="239">
        <v>43709</v>
      </c>
      <c r="K52" s="239">
        <v>44530</v>
      </c>
      <c r="L52" s="243">
        <v>80000</v>
      </c>
      <c r="M52" s="243">
        <v>26664</v>
      </c>
    </row>
    <row r="53" spans="1:13" ht="15.75">
      <c r="A53" s="83">
        <v>507639</v>
      </c>
      <c r="B53" s="238">
        <v>212065</v>
      </c>
      <c r="C53" s="238" t="s">
        <v>1503</v>
      </c>
      <c r="D53" s="238" t="s">
        <v>516</v>
      </c>
      <c r="E53" s="238" t="s">
        <v>519</v>
      </c>
      <c r="F53" s="238" t="s">
        <v>353</v>
      </c>
      <c r="G53" s="238" t="s">
        <v>380</v>
      </c>
      <c r="H53" s="91" t="s">
        <v>264</v>
      </c>
      <c r="I53" s="91" t="s">
        <v>46</v>
      </c>
      <c r="J53" s="239">
        <v>43709</v>
      </c>
      <c r="K53" s="239">
        <v>44530</v>
      </c>
      <c r="L53" s="243">
        <v>10000</v>
      </c>
      <c r="M53" s="243">
        <v>3333</v>
      </c>
    </row>
    <row r="54" spans="1:13" ht="15.75">
      <c r="A54" s="83">
        <v>507639</v>
      </c>
      <c r="B54" s="238">
        <v>212065</v>
      </c>
      <c r="C54" s="238" t="s">
        <v>1503</v>
      </c>
      <c r="D54" s="238"/>
      <c r="E54" s="238" t="s">
        <v>519</v>
      </c>
      <c r="F54" s="238" t="s">
        <v>353</v>
      </c>
      <c r="G54" s="238" t="s">
        <v>380</v>
      </c>
      <c r="H54" s="91" t="s">
        <v>264</v>
      </c>
      <c r="I54" s="91" t="s">
        <v>46</v>
      </c>
      <c r="J54" s="239">
        <v>43709</v>
      </c>
      <c r="K54" s="239">
        <v>44530</v>
      </c>
      <c r="L54" s="243">
        <v>275000</v>
      </c>
      <c r="M54" s="243">
        <v>91657.5</v>
      </c>
    </row>
    <row r="55" spans="1:13" ht="15.75">
      <c r="A55" s="83">
        <v>507639</v>
      </c>
      <c r="B55" s="238">
        <v>212361</v>
      </c>
      <c r="C55" s="238" t="s">
        <v>1504</v>
      </c>
      <c r="D55" s="238"/>
      <c r="E55" s="238" t="s">
        <v>519</v>
      </c>
      <c r="F55" s="238" t="s">
        <v>353</v>
      </c>
      <c r="G55" s="238" t="s">
        <v>379</v>
      </c>
      <c r="H55" s="91" t="s">
        <v>269</v>
      </c>
      <c r="I55" s="91" t="s">
        <v>46</v>
      </c>
      <c r="J55" s="239">
        <v>43709</v>
      </c>
      <c r="K55" s="239">
        <v>44530</v>
      </c>
      <c r="L55" s="243">
        <v>240000</v>
      </c>
      <c r="M55" s="243">
        <v>79992</v>
      </c>
    </row>
    <row r="56" spans="1:13" ht="15.75">
      <c r="A56" s="83">
        <v>507641</v>
      </c>
      <c r="B56" s="238">
        <v>203173</v>
      </c>
      <c r="C56" s="238" t="s">
        <v>1505</v>
      </c>
      <c r="D56" s="238"/>
      <c r="E56" s="238" t="s">
        <v>519</v>
      </c>
      <c r="F56" s="238" t="s">
        <v>353</v>
      </c>
      <c r="G56" s="238" t="s">
        <v>385</v>
      </c>
      <c r="H56" s="91" t="s">
        <v>386</v>
      </c>
      <c r="I56" s="91" t="s">
        <v>75</v>
      </c>
      <c r="J56" s="239">
        <v>43709</v>
      </c>
      <c r="K56" s="239">
        <v>44530</v>
      </c>
      <c r="L56" s="243">
        <v>61765</v>
      </c>
      <c r="M56" s="243">
        <v>20586.2745</v>
      </c>
    </row>
    <row r="57" spans="1:13" ht="15.75">
      <c r="A57" s="83">
        <v>507641</v>
      </c>
      <c r="B57" s="238">
        <v>203820</v>
      </c>
      <c r="C57" s="238" t="s">
        <v>1506</v>
      </c>
      <c r="D57" s="238"/>
      <c r="E57" s="238" t="s">
        <v>519</v>
      </c>
      <c r="F57" s="238" t="s">
        <v>353</v>
      </c>
      <c r="G57" s="238" t="s">
        <v>369</v>
      </c>
      <c r="H57" s="91" t="s">
        <v>384</v>
      </c>
      <c r="I57" s="91" t="s">
        <v>46</v>
      </c>
      <c r="J57" s="239">
        <v>43709</v>
      </c>
      <c r="K57" s="239">
        <v>44530</v>
      </c>
      <c r="L57" s="243">
        <v>106595</v>
      </c>
      <c r="M57" s="243">
        <v>35528.113499999999</v>
      </c>
    </row>
    <row r="58" spans="1:13" ht="15.75">
      <c r="A58" s="83">
        <v>507641</v>
      </c>
      <c r="B58" s="238">
        <v>205592</v>
      </c>
      <c r="C58" s="238" t="s">
        <v>1507</v>
      </c>
      <c r="D58" s="238"/>
      <c r="E58" s="238" t="s">
        <v>519</v>
      </c>
      <c r="F58" s="238" t="s">
        <v>353</v>
      </c>
      <c r="G58" s="238" t="s">
        <v>389</v>
      </c>
      <c r="H58" s="91" t="s">
        <v>390</v>
      </c>
      <c r="I58" s="91" t="s">
        <v>46</v>
      </c>
      <c r="J58" s="239">
        <v>43709</v>
      </c>
      <c r="K58" s="239">
        <v>44530</v>
      </c>
      <c r="L58" s="243">
        <v>32000</v>
      </c>
      <c r="M58" s="243">
        <v>10665.6</v>
      </c>
    </row>
    <row r="59" spans="1:13" ht="15.75">
      <c r="A59" s="83">
        <v>507641</v>
      </c>
      <c r="B59" s="238">
        <v>208897</v>
      </c>
      <c r="C59" s="238" t="s">
        <v>1508</v>
      </c>
      <c r="D59" s="238"/>
      <c r="E59" s="238" t="s">
        <v>519</v>
      </c>
      <c r="F59" s="238" t="s">
        <v>353</v>
      </c>
      <c r="G59" s="238" t="s">
        <v>387</v>
      </c>
      <c r="H59" s="91" t="s">
        <v>388</v>
      </c>
      <c r="I59" s="91" t="s">
        <v>46</v>
      </c>
      <c r="J59" s="239">
        <v>43709</v>
      </c>
      <c r="K59" s="239">
        <v>44530</v>
      </c>
      <c r="L59" s="243">
        <v>73925</v>
      </c>
      <c r="M59" s="243">
        <v>24639.202499999999</v>
      </c>
    </row>
    <row r="60" spans="1:13" ht="15.75">
      <c r="A60" s="83">
        <v>507641</v>
      </c>
      <c r="B60" s="238">
        <v>208934</v>
      </c>
      <c r="C60" s="238" t="s">
        <v>1509</v>
      </c>
      <c r="D60" s="238"/>
      <c r="E60" s="238" t="s">
        <v>519</v>
      </c>
      <c r="F60" s="238" t="s">
        <v>353</v>
      </c>
      <c r="G60" s="238" t="s">
        <v>382</v>
      </c>
      <c r="H60" s="91" t="s">
        <v>383</v>
      </c>
      <c r="I60" s="91" t="s">
        <v>75</v>
      </c>
      <c r="J60" s="239">
        <v>43709</v>
      </c>
      <c r="K60" s="239">
        <v>44530</v>
      </c>
      <c r="L60" s="243">
        <v>58717</v>
      </c>
      <c r="M60" s="243">
        <v>19570.376099999998</v>
      </c>
    </row>
    <row r="61" spans="1:13" ht="15.75">
      <c r="A61" s="83">
        <v>507642</v>
      </c>
      <c r="B61" s="238">
        <v>200150</v>
      </c>
      <c r="C61" s="238" t="s">
        <v>1510</v>
      </c>
      <c r="D61" s="238"/>
      <c r="E61" s="238" t="s">
        <v>519</v>
      </c>
      <c r="F61" s="238" t="s">
        <v>353</v>
      </c>
      <c r="G61" s="238" t="s">
        <v>393</v>
      </c>
      <c r="H61" s="91" t="s">
        <v>278</v>
      </c>
      <c r="I61" s="91" t="s">
        <v>53</v>
      </c>
      <c r="J61" s="239">
        <v>43709</v>
      </c>
      <c r="K61" s="239">
        <v>44530</v>
      </c>
      <c r="L61" s="243">
        <v>85000</v>
      </c>
      <c r="M61" s="243">
        <v>28330.5</v>
      </c>
    </row>
    <row r="62" spans="1:13" ht="15.75">
      <c r="A62" s="83">
        <v>507642</v>
      </c>
      <c r="B62" s="238">
        <v>208607</v>
      </c>
      <c r="C62" s="238" t="s">
        <v>1511</v>
      </c>
      <c r="D62" s="238"/>
      <c r="E62" s="238" t="s">
        <v>519</v>
      </c>
      <c r="F62" s="238" t="s">
        <v>353</v>
      </c>
      <c r="G62" s="238" t="s">
        <v>391</v>
      </c>
      <c r="H62" s="91" t="s">
        <v>282</v>
      </c>
      <c r="I62" s="91" t="s">
        <v>53</v>
      </c>
      <c r="J62" s="239">
        <v>43709</v>
      </c>
      <c r="K62" s="239">
        <v>44530</v>
      </c>
      <c r="L62" s="243">
        <v>90000</v>
      </c>
      <c r="M62" s="243">
        <v>29997</v>
      </c>
    </row>
    <row r="63" spans="1:13" ht="15.75">
      <c r="A63" s="83">
        <v>507642</v>
      </c>
      <c r="B63" s="238">
        <v>212714</v>
      </c>
      <c r="C63" s="238" t="s">
        <v>1512</v>
      </c>
      <c r="D63" s="238"/>
      <c r="E63" s="238" t="s">
        <v>519</v>
      </c>
      <c r="F63" s="238" t="s">
        <v>353</v>
      </c>
      <c r="G63" s="238" t="s">
        <v>392</v>
      </c>
      <c r="H63" s="91" t="s">
        <v>280</v>
      </c>
      <c r="I63" s="91" t="s">
        <v>53</v>
      </c>
      <c r="J63" s="239">
        <v>43709</v>
      </c>
      <c r="K63" s="239">
        <v>44530</v>
      </c>
      <c r="L63" s="243">
        <v>85000</v>
      </c>
      <c r="M63" s="243">
        <v>28330.5</v>
      </c>
    </row>
    <row r="64" spans="1:13" ht="15.75">
      <c r="A64" s="83">
        <v>507643</v>
      </c>
      <c r="B64" s="238">
        <v>201921</v>
      </c>
      <c r="C64" s="238" t="s">
        <v>1513</v>
      </c>
      <c r="D64" s="238"/>
      <c r="E64" s="238" t="s">
        <v>519</v>
      </c>
      <c r="F64" s="238" t="s">
        <v>353</v>
      </c>
      <c r="G64" s="238" t="s">
        <v>397</v>
      </c>
      <c r="H64" s="91" t="s">
        <v>284</v>
      </c>
      <c r="I64" s="91" t="s">
        <v>46</v>
      </c>
      <c r="J64" s="239">
        <v>43709</v>
      </c>
      <c r="K64" s="239">
        <v>44530</v>
      </c>
      <c r="L64" s="243">
        <v>80000</v>
      </c>
      <c r="M64" s="243">
        <v>26664</v>
      </c>
    </row>
    <row r="65" spans="1:13" ht="15.75">
      <c r="A65" s="83">
        <v>507643</v>
      </c>
      <c r="B65" s="238">
        <v>208489</v>
      </c>
      <c r="C65" s="238" t="s">
        <v>1514</v>
      </c>
      <c r="D65" s="238"/>
      <c r="E65" s="238" t="s">
        <v>519</v>
      </c>
      <c r="F65" s="238" t="s">
        <v>353</v>
      </c>
      <c r="G65" s="238" t="s">
        <v>395</v>
      </c>
      <c r="H65" s="91" t="s">
        <v>396</v>
      </c>
      <c r="I65" s="91" t="s">
        <v>68</v>
      </c>
      <c r="J65" s="239">
        <v>43709</v>
      </c>
      <c r="K65" s="239">
        <v>44530</v>
      </c>
      <c r="L65" s="243">
        <v>75000</v>
      </c>
      <c r="M65" s="243">
        <v>24997.5</v>
      </c>
    </row>
    <row r="66" spans="1:13" ht="15.75">
      <c r="A66" s="83">
        <v>507643</v>
      </c>
      <c r="B66" s="238">
        <v>208810</v>
      </c>
      <c r="C66" s="238" t="s">
        <v>1515</v>
      </c>
      <c r="D66" s="238"/>
      <c r="E66" s="238" t="s">
        <v>519</v>
      </c>
      <c r="F66" s="238" t="s">
        <v>353</v>
      </c>
      <c r="G66" s="238" t="s">
        <v>398</v>
      </c>
      <c r="H66" s="91" t="s">
        <v>399</v>
      </c>
      <c r="I66" s="91" t="s">
        <v>53</v>
      </c>
      <c r="J66" s="239">
        <v>43709</v>
      </c>
      <c r="K66" s="239">
        <v>44530</v>
      </c>
      <c r="L66" s="243">
        <v>100000</v>
      </c>
      <c r="M66" s="243">
        <v>33330</v>
      </c>
    </row>
    <row r="67" spans="1:13" ht="15.75">
      <c r="A67" s="83">
        <v>507643</v>
      </c>
      <c r="B67" s="238">
        <v>211134</v>
      </c>
      <c r="C67" s="238" t="s">
        <v>1516</v>
      </c>
      <c r="D67" s="238"/>
      <c r="E67" s="238" t="s">
        <v>519</v>
      </c>
      <c r="F67" s="238" t="s">
        <v>353</v>
      </c>
      <c r="G67" s="238" t="s">
        <v>394</v>
      </c>
      <c r="H67" s="91" t="s">
        <v>287</v>
      </c>
      <c r="I67" s="91" t="s">
        <v>46</v>
      </c>
      <c r="J67" s="239">
        <v>43709</v>
      </c>
      <c r="K67" s="239">
        <v>44530</v>
      </c>
      <c r="L67" s="243">
        <v>80000</v>
      </c>
      <c r="M67" s="243">
        <v>26664</v>
      </c>
    </row>
    <row r="68" spans="1:13" ht="15.75">
      <c r="A68" s="83">
        <v>507693</v>
      </c>
      <c r="B68" s="238">
        <v>201921</v>
      </c>
      <c r="C68" s="238" t="s">
        <v>1517</v>
      </c>
      <c r="D68" s="238"/>
      <c r="E68" s="238" t="s">
        <v>519</v>
      </c>
      <c r="F68" s="238" t="s">
        <v>353</v>
      </c>
      <c r="G68" s="238" t="s">
        <v>397</v>
      </c>
      <c r="H68" s="91" t="s">
        <v>408</v>
      </c>
      <c r="I68" s="91" t="s">
        <v>46</v>
      </c>
      <c r="J68" s="239">
        <v>43709</v>
      </c>
      <c r="K68" s="239">
        <v>44530</v>
      </c>
      <c r="L68" s="243">
        <v>66900</v>
      </c>
      <c r="M68" s="243">
        <v>22297.77</v>
      </c>
    </row>
    <row r="69" spans="1:13" ht="15.75">
      <c r="A69" s="83">
        <v>507693</v>
      </c>
      <c r="B69" s="238">
        <v>206130</v>
      </c>
      <c r="C69" s="238" t="s">
        <v>1518</v>
      </c>
      <c r="D69" s="238"/>
      <c r="E69" s="238" t="s">
        <v>519</v>
      </c>
      <c r="F69" s="238" t="s">
        <v>353</v>
      </c>
      <c r="G69" s="238" t="s">
        <v>400</v>
      </c>
      <c r="H69" s="91" t="s">
        <v>401</v>
      </c>
      <c r="I69" s="91" t="s">
        <v>46</v>
      </c>
      <c r="J69" s="239">
        <v>43709</v>
      </c>
      <c r="K69" s="239">
        <v>44530</v>
      </c>
      <c r="L69" s="243">
        <v>100350</v>
      </c>
      <c r="M69" s="243">
        <v>33446.654999999999</v>
      </c>
    </row>
    <row r="70" spans="1:13" ht="15.75">
      <c r="A70" s="83">
        <v>507693</v>
      </c>
      <c r="B70" s="238">
        <v>209184</v>
      </c>
      <c r="C70" s="238" t="s">
        <v>1519</v>
      </c>
      <c r="D70" s="238"/>
      <c r="E70" s="238" t="s">
        <v>519</v>
      </c>
      <c r="F70" s="238" t="s">
        <v>353</v>
      </c>
      <c r="G70" s="238" t="s">
        <v>411</v>
      </c>
      <c r="H70" s="91" t="s">
        <v>412</v>
      </c>
      <c r="I70" s="91" t="s">
        <v>53</v>
      </c>
      <c r="J70" s="239">
        <v>43709</v>
      </c>
      <c r="K70" s="239">
        <v>44530</v>
      </c>
      <c r="L70" s="243">
        <v>108000</v>
      </c>
      <c r="M70" s="243">
        <v>35996.400000000001</v>
      </c>
    </row>
    <row r="71" spans="1:13" ht="15.75">
      <c r="A71" s="83">
        <v>507693</v>
      </c>
      <c r="B71" s="238">
        <v>209766</v>
      </c>
      <c r="C71" s="238" t="s">
        <v>1520</v>
      </c>
      <c r="D71" s="238"/>
      <c r="E71" s="238" t="s">
        <v>519</v>
      </c>
      <c r="F71" s="238" t="s">
        <v>353</v>
      </c>
      <c r="G71" s="238" t="s">
        <v>409</v>
      </c>
      <c r="H71" s="91" t="s">
        <v>410</v>
      </c>
      <c r="I71" s="91" t="s">
        <v>53</v>
      </c>
      <c r="J71" s="239">
        <v>43709</v>
      </c>
      <c r="K71" s="239">
        <v>44530</v>
      </c>
      <c r="L71" s="243">
        <v>108123</v>
      </c>
      <c r="M71" s="243">
        <v>36037.395899999996</v>
      </c>
    </row>
    <row r="72" spans="1:13" ht="15.75">
      <c r="A72" s="83">
        <v>507693</v>
      </c>
      <c r="B72" s="238">
        <v>211063</v>
      </c>
      <c r="C72" s="238" t="s">
        <v>1521</v>
      </c>
      <c r="D72" s="238"/>
      <c r="E72" s="238" t="s">
        <v>519</v>
      </c>
      <c r="F72" s="238" t="s">
        <v>353</v>
      </c>
      <c r="G72" s="238" t="s">
        <v>402</v>
      </c>
      <c r="H72" s="91" t="s">
        <v>403</v>
      </c>
      <c r="I72" s="91" t="s">
        <v>68</v>
      </c>
      <c r="J72" s="239">
        <v>43709</v>
      </c>
      <c r="K72" s="239">
        <v>44530</v>
      </c>
      <c r="L72" s="243">
        <v>33450</v>
      </c>
      <c r="M72" s="243">
        <v>11148.885</v>
      </c>
    </row>
    <row r="73" spans="1:13" ht="15.75">
      <c r="A73" s="83">
        <v>507693</v>
      </c>
      <c r="B73" s="238">
        <v>211963</v>
      </c>
      <c r="C73" s="238" t="s">
        <v>1522</v>
      </c>
      <c r="D73" s="238"/>
      <c r="E73" s="238" t="s">
        <v>519</v>
      </c>
      <c r="F73" s="238" t="s">
        <v>353</v>
      </c>
      <c r="G73" s="238" t="s">
        <v>372</v>
      </c>
      <c r="H73" s="91" t="s">
        <v>404</v>
      </c>
      <c r="I73" s="91" t="s">
        <v>46</v>
      </c>
      <c r="J73" s="239">
        <v>43709</v>
      </c>
      <c r="K73" s="239">
        <v>44530</v>
      </c>
      <c r="L73" s="243">
        <v>33450</v>
      </c>
      <c r="M73" s="243">
        <v>11148.885</v>
      </c>
    </row>
    <row r="74" spans="1:13" ht="15.75">
      <c r="A74" s="83">
        <v>507693</v>
      </c>
      <c r="B74" s="238">
        <v>212636</v>
      </c>
      <c r="C74" s="238" t="s">
        <v>1523</v>
      </c>
      <c r="D74" s="238"/>
      <c r="E74" s="238" t="s">
        <v>519</v>
      </c>
      <c r="F74" s="238" t="s">
        <v>353</v>
      </c>
      <c r="G74" s="238" t="s">
        <v>356</v>
      </c>
      <c r="H74" s="91" t="s">
        <v>405</v>
      </c>
      <c r="I74" s="91" t="s">
        <v>53</v>
      </c>
      <c r="J74" s="239">
        <v>43709</v>
      </c>
      <c r="K74" s="239">
        <v>44530</v>
      </c>
      <c r="L74" s="243">
        <v>108370</v>
      </c>
      <c r="M74" s="243">
        <v>36119.720999999998</v>
      </c>
    </row>
    <row r="75" spans="1:13" ht="15.75">
      <c r="A75" s="83">
        <v>507693</v>
      </c>
      <c r="B75" s="238">
        <v>212893</v>
      </c>
      <c r="C75" s="238" t="s">
        <v>1524</v>
      </c>
      <c r="D75" s="238"/>
      <c r="E75" s="238" t="s">
        <v>519</v>
      </c>
      <c r="F75" s="238" t="s">
        <v>353</v>
      </c>
      <c r="G75" s="238" t="s">
        <v>406</v>
      </c>
      <c r="H75" s="91" t="s">
        <v>407</v>
      </c>
      <c r="I75" s="91" t="s">
        <v>53</v>
      </c>
      <c r="J75" s="239">
        <v>43709</v>
      </c>
      <c r="K75" s="239">
        <v>44530</v>
      </c>
      <c r="L75" s="243">
        <v>108000</v>
      </c>
      <c r="M75" s="243">
        <v>35996.400000000001</v>
      </c>
    </row>
    <row r="76" spans="1:13" ht="15.75">
      <c r="A76" s="83">
        <v>507776</v>
      </c>
      <c r="B76" s="238">
        <v>208625</v>
      </c>
      <c r="C76" s="238" t="s">
        <v>1525</v>
      </c>
      <c r="D76" s="238"/>
      <c r="E76" s="238" t="s">
        <v>519</v>
      </c>
      <c r="F76" s="238" t="s">
        <v>353</v>
      </c>
      <c r="G76" s="238" t="s">
        <v>366</v>
      </c>
      <c r="H76" s="91" t="s">
        <v>307</v>
      </c>
      <c r="I76" s="91" t="s">
        <v>53</v>
      </c>
      <c r="J76" s="239">
        <v>43709</v>
      </c>
      <c r="K76" s="239">
        <v>44530</v>
      </c>
      <c r="L76" s="243">
        <v>83333</v>
      </c>
      <c r="M76" s="243">
        <v>27774.888899999998</v>
      </c>
    </row>
    <row r="77" spans="1:13" ht="15.75">
      <c r="A77" s="83">
        <v>507776</v>
      </c>
      <c r="B77" s="238">
        <v>208628</v>
      </c>
      <c r="C77" s="238" t="s">
        <v>1526</v>
      </c>
      <c r="D77" s="238"/>
      <c r="E77" s="238" t="s">
        <v>519</v>
      </c>
      <c r="F77" s="238" t="s">
        <v>353</v>
      </c>
      <c r="G77" s="238" t="s">
        <v>416</v>
      </c>
      <c r="H77" s="91" t="s">
        <v>417</v>
      </c>
      <c r="I77" s="91" t="s">
        <v>53</v>
      </c>
      <c r="J77" s="239">
        <v>43709</v>
      </c>
      <c r="K77" s="239">
        <v>44530</v>
      </c>
      <c r="L77" s="243">
        <v>83334</v>
      </c>
      <c r="M77" s="243">
        <v>27775.2222</v>
      </c>
    </row>
    <row r="78" spans="1:13" ht="15.75">
      <c r="A78" s="83">
        <v>507776</v>
      </c>
      <c r="B78" s="238">
        <v>208808</v>
      </c>
      <c r="C78" s="238" t="s">
        <v>1527</v>
      </c>
      <c r="D78" s="238"/>
      <c r="E78" s="238" t="s">
        <v>519</v>
      </c>
      <c r="F78" s="238" t="s">
        <v>353</v>
      </c>
      <c r="G78" s="238" t="s">
        <v>414</v>
      </c>
      <c r="H78" s="91" t="s">
        <v>309</v>
      </c>
      <c r="I78" s="91" t="s">
        <v>53</v>
      </c>
      <c r="J78" s="239">
        <v>43709</v>
      </c>
      <c r="K78" s="239">
        <v>44530</v>
      </c>
      <c r="L78" s="243">
        <v>70000</v>
      </c>
      <c r="M78" s="243">
        <v>23331</v>
      </c>
    </row>
    <row r="79" spans="1:13" ht="15.75">
      <c r="A79" s="83">
        <v>507776</v>
      </c>
      <c r="B79" s="238">
        <v>209476</v>
      </c>
      <c r="C79" s="238" t="s">
        <v>1528</v>
      </c>
      <c r="D79" s="238"/>
      <c r="E79" s="238" t="s">
        <v>519</v>
      </c>
      <c r="F79" s="238" t="s">
        <v>353</v>
      </c>
      <c r="G79" s="238" t="s">
        <v>415</v>
      </c>
      <c r="H79" s="91" t="s">
        <v>300</v>
      </c>
      <c r="I79" s="91" t="s">
        <v>46</v>
      </c>
      <c r="J79" s="239">
        <v>43709</v>
      </c>
      <c r="K79" s="239">
        <v>44530</v>
      </c>
      <c r="L79" s="243">
        <v>70000</v>
      </c>
      <c r="M79" s="243">
        <v>23331</v>
      </c>
    </row>
    <row r="80" spans="1:13" ht="15.75">
      <c r="A80" s="83">
        <v>507776</v>
      </c>
      <c r="B80" s="238">
        <v>209711</v>
      </c>
      <c r="C80" s="238" t="s">
        <v>1529</v>
      </c>
      <c r="D80" s="238"/>
      <c r="E80" s="238" t="s">
        <v>519</v>
      </c>
      <c r="F80" s="238" t="s">
        <v>353</v>
      </c>
      <c r="G80" s="238" t="s">
        <v>420</v>
      </c>
      <c r="H80" s="91" t="s">
        <v>305</v>
      </c>
      <c r="I80" s="91" t="s">
        <v>53</v>
      </c>
      <c r="J80" s="239">
        <v>43709</v>
      </c>
      <c r="K80" s="239">
        <v>44530</v>
      </c>
      <c r="L80" s="243">
        <v>83333</v>
      </c>
      <c r="M80" s="243">
        <v>27774.888899999998</v>
      </c>
    </row>
    <row r="81" spans="1:13" ht="15.75">
      <c r="A81" s="83">
        <v>507776</v>
      </c>
      <c r="B81" s="238">
        <v>211377</v>
      </c>
      <c r="C81" s="238" t="s">
        <v>1530</v>
      </c>
      <c r="D81" s="238"/>
      <c r="E81" s="238" t="s">
        <v>519</v>
      </c>
      <c r="F81" s="238" t="s">
        <v>353</v>
      </c>
      <c r="G81" s="238" t="s">
        <v>413</v>
      </c>
      <c r="H81" s="91" t="s">
        <v>306</v>
      </c>
      <c r="I81" s="91" t="s">
        <v>53</v>
      </c>
      <c r="J81" s="239">
        <v>43709</v>
      </c>
      <c r="K81" s="239">
        <v>44530</v>
      </c>
      <c r="L81" s="243">
        <v>60000</v>
      </c>
      <c r="M81" s="243">
        <v>19998</v>
      </c>
    </row>
    <row r="82" spans="1:13" ht="15.75">
      <c r="A82" s="83">
        <v>507776</v>
      </c>
      <c r="B82" s="238">
        <v>211963</v>
      </c>
      <c r="C82" s="238" t="s">
        <v>1531</v>
      </c>
      <c r="D82" s="238"/>
      <c r="E82" s="238" t="s">
        <v>519</v>
      </c>
      <c r="F82" s="238" t="s">
        <v>353</v>
      </c>
      <c r="G82" s="238" t="s">
        <v>372</v>
      </c>
      <c r="H82" s="91" t="s">
        <v>301</v>
      </c>
      <c r="I82" s="91" t="s">
        <v>46</v>
      </c>
      <c r="J82" s="239">
        <v>43709</v>
      </c>
      <c r="K82" s="239">
        <v>44530</v>
      </c>
      <c r="L82" s="243">
        <v>50000</v>
      </c>
      <c r="M82" s="243">
        <v>16665</v>
      </c>
    </row>
    <row r="83" spans="1:13" ht="15.75">
      <c r="A83" s="83">
        <v>507777</v>
      </c>
      <c r="B83" s="238">
        <v>203561</v>
      </c>
      <c r="C83" s="238" t="s">
        <v>1532</v>
      </c>
      <c r="D83" s="238"/>
      <c r="E83" s="238" t="s">
        <v>519</v>
      </c>
      <c r="F83" s="238" t="s">
        <v>353</v>
      </c>
      <c r="G83" s="238" t="s">
        <v>425</v>
      </c>
      <c r="H83" s="91" t="s">
        <v>318</v>
      </c>
      <c r="I83" s="91" t="s">
        <v>53</v>
      </c>
      <c r="J83" s="239">
        <v>43709</v>
      </c>
      <c r="K83" s="239">
        <v>44530</v>
      </c>
      <c r="L83" s="243">
        <v>89064</v>
      </c>
      <c r="M83" s="243">
        <v>29685.031199999998</v>
      </c>
    </row>
    <row r="84" spans="1:13" ht="15.75">
      <c r="A84" s="83">
        <v>507777</v>
      </c>
      <c r="B84" s="238">
        <v>203628</v>
      </c>
      <c r="C84" s="238" t="s">
        <v>1533</v>
      </c>
      <c r="D84" s="238"/>
      <c r="E84" s="238" t="s">
        <v>519</v>
      </c>
      <c r="F84" s="238" t="s">
        <v>353</v>
      </c>
      <c r="G84" s="238" t="s">
        <v>424</v>
      </c>
      <c r="H84" s="91" t="s">
        <v>316</v>
      </c>
      <c r="I84" s="91" t="s">
        <v>53</v>
      </c>
      <c r="J84" s="239">
        <v>43709</v>
      </c>
      <c r="K84" s="239">
        <v>44530</v>
      </c>
      <c r="L84" s="243">
        <v>201530</v>
      </c>
      <c r="M84" s="243">
        <v>67169.948999999993</v>
      </c>
    </row>
    <row r="85" spans="1:13" ht="15.75">
      <c r="A85" s="83">
        <v>507777</v>
      </c>
      <c r="B85" s="238">
        <v>206121</v>
      </c>
      <c r="C85" s="238" t="s">
        <v>1534</v>
      </c>
      <c r="D85" s="238"/>
      <c r="E85" s="238" t="s">
        <v>519</v>
      </c>
      <c r="F85" s="238" t="s">
        <v>353</v>
      </c>
      <c r="G85" s="238" t="s">
        <v>422</v>
      </c>
      <c r="H85" s="91" t="s">
        <v>311</v>
      </c>
      <c r="I85" s="91" t="s">
        <v>46</v>
      </c>
      <c r="J85" s="239">
        <v>43709</v>
      </c>
      <c r="K85" s="239">
        <v>44530</v>
      </c>
      <c r="L85" s="243">
        <v>103320</v>
      </c>
      <c r="M85" s="243">
        <v>34436.555999999997</v>
      </c>
    </row>
    <row r="86" spans="1:13" ht="15.75">
      <c r="A86" s="83">
        <v>507777</v>
      </c>
      <c r="B86" s="238">
        <v>206470</v>
      </c>
      <c r="C86" s="238" t="s">
        <v>1535</v>
      </c>
      <c r="D86" s="238"/>
      <c r="E86" s="238" t="s">
        <v>519</v>
      </c>
      <c r="F86" s="238" t="s">
        <v>353</v>
      </c>
      <c r="G86" s="238" t="s">
        <v>421</v>
      </c>
      <c r="H86" s="91" t="s">
        <v>313</v>
      </c>
      <c r="I86" s="91" t="s">
        <v>46</v>
      </c>
      <c r="J86" s="239">
        <v>43709</v>
      </c>
      <c r="K86" s="239">
        <v>44530</v>
      </c>
      <c r="L86" s="243">
        <v>54000</v>
      </c>
      <c r="M86" s="243">
        <v>17998.2</v>
      </c>
    </row>
    <row r="87" spans="1:13" ht="15.75">
      <c r="A87" s="83">
        <v>507777</v>
      </c>
      <c r="B87" s="238">
        <v>208815</v>
      </c>
      <c r="C87" s="238" t="s">
        <v>1536</v>
      </c>
      <c r="D87" s="238"/>
      <c r="E87" s="238" t="s">
        <v>519</v>
      </c>
      <c r="F87" s="238" t="s">
        <v>353</v>
      </c>
      <c r="G87" s="238" t="s">
        <v>423</v>
      </c>
      <c r="H87" s="91" t="s">
        <v>315</v>
      </c>
      <c r="I87" s="91" t="s">
        <v>53</v>
      </c>
      <c r="J87" s="239">
        <v>43709</v>
      </c>
      <c r="K87" s="239">
        <v>44530</v>
      </c>
      <c r="L87" s="243">
        <v>48240</v>
      </c>
      <c r="M87" s="243">
        <v>16078.392</v>
      </c>
    </row>
    <row r="88" spans="1:13" ht="15.75">
      <c r="A88" s="83">
        <v>507778</v>
      </c>
      <c r="B88" s="238">
        <v>207444</v>
      </c>
      <c r="C88" s="238" t="s">
        <v>1537</v>
      </c>
      <c r="D88" s="238"/>
      <c r="E88" s="238" t="s">
        <v>519</v>
      </c>
      <c r="F88" s="238" t="s">
        <v>353</v>
      </c>
      <c r="G88" s="238" t="s">
        <v>348</v>
      </c>
      <c r="H88" s="91" t="s">
        <v>434</v>
      </c>
      <c r="I88" s="91" t="s">
        <v>46</v>
      </c>
      <c r="J88" s="239">
        <v>43709</v>
      </c>
      <c r="K88" s="239">
        <v>44530</v>
      </c>
      <c r="L88" s="243">
        <v>50000</v>
      </c>
      <c r="M88" s="243">
        <v>16665</v>
      </c>
    </row>
    <row r="89" spans="1:13" ht="15.75">
      <c r="A89" s="83">
        <v>507778</v>
      </c>
      <c r="B89" s="83">
        <v>210089</v>
      </c>
      <c r="C89" s="83" t="s">
        <v>1538</v>
      </c>
      <c r="D89" s="83" t="s">
        <v>516</v>
      </c>
      <c r="E89" s="83" t="s">
        <v>519</v>
      </c>
      <c r="F89" s="83" t="s">
        <v>353</v>
      </c>
      <c r="G89" s="83" t="s">
        <v>428</v>
      </c>
      <c r="H89" s="86" t="s">
        <v>429</v>
      </c>
      <c r="I89" s="244" t="s">
        <v>82</v>
      </c>
      <c r="J89" s="239">
        <v>43709</v>
      </c>
      <c r="K89" s="239">
        <v>44530</v>
      </c>
      <c r="L89" s="84">
        <v>26250</v>
      </c>
      <c r="M89" s="84">
        <v>8749.125</v>
      </c>
    </row>
    <row r="90" spans="1:13" ht="15.75">
      <c r="A90" s="83">
        <v>507778</v>
      </c>
      <c r="B90" s="238">
        <v>210089</v>
      </c>
      <c r="C90" s="238" t="s">
        <v>1538</v>
      </c>
      <c r="D90" s="238"/>
      <c r="E90" s="238" t="s">
        <v>519</v>
      </c>
      <c r="F90" s="238" t="s">
        <v>353</v>
      </c>
      <c r="G90" s="238" t="s">
        <v>428</v>
      </c>
      <c r="H90" s="91" t="s">
        <v>429</v>
      </c>
      <c r="I90" s="91" t="s">
        <v>82</v>
      </c>
      <c r="J90" s="239">
        <v>43709</v>
      </c>
      <c r="K90" s="239">
        <v>44530</v>
      </c>
      <c r="L90" s="243">
        <v>169000</v>
      </c>
      <c r="M90" s="243">
        <v>56327.7</v>
      </c>
    </row>
    <row r="91" spans="1:13" ht="15.75">
      <c r="A91" s="83">
        <v>507778</v>
      </c>
      <c r="B91" s="238">
        <v>210174</v>
      </c>
      <c r="C91" s="238" t="s">
        <v>1539</v>
      </c>
      <c r="D91" s="238" t="s">
        <v>516</v>
      </c>
      <c r="E91" s="238" t="s">
        <v>519</v>
      </c>
      <c r="F91" s="238" t="s">
        <v>353</v>
      </c>
      <c r="G91" s="238" t="s">
        <v>377</v>
      </c>
      <c r="H91" s="91" t="s">
        <v>426</v>
      </c>
      <c r="I91" s="91" t="s">
        <v>46</v>
      </c>
      <c r="J91" s="239">
        <v>43709</v>
      </c>
      <c r="K91" s="239">
        <v>44530</v>
      </c>
      <c r="L91" s="243">
        <v>14250</v>
      </c>
      <c r="M91" s="243">
        <v>4749.5249999999996</v>
      </c>
    </row>
    <row r="92" spans="1:13" ht="15.75">
      <c r="A92" s="83">
        <v>507778</v>
      </c>
      <c r="B92" s="238">
        <v>210174</v>
      </c>
      <c r="C92" s="238" t="s">
        <v>1539</v>
      </c>
      <c r="D92" s="238"/>
      <c r="E92" s="238" t="s">
        <v>519</v>
      </c>
      <c r="F92" s="238" t="s">
        <v>353</v>
      </c>
      <c r="G92" s="238" t="s">
        <v>377</v>
      </c>
      <c r="H92" s="91" t="s">
        <v>427</v>
      </c>
      <c r="I92" s="91" t="s">
        <v>46</v>
      </c>
      <c r="J92" s="239">
        <v>43709</v>
      </c>
      <c r="K92" s="239">
        <v>44530</v>
      </c>
      <c r="L92" s="243">
        <v>66000</v>
      </c>
      <c r="M92" s="243">
        <v>21997.8</v>
      </c>
    </row>
    <row r="93" spans="1:13" ht="15.75">
      <c r="A93" s="83">
        <v>507778</v>
      </c>
      <c r="B93" s="238">
        <v>211058</v>
      </c>
      <c r="C93" s="238" t="s">
        <v>1540</v>
      </c>
      <c r="D93" s="238" t="s">
        <v>516</v>
      </c>
      <c r="E93" s="238" t="s">
        <v>519</v>
      </c>
      <c r="F93" s="238" t="s">
        <v>353</v>
      </c>
      <c r="G93" s="238" t="s">
        <v>432</v>
      </c>
      <c r="H93" s="91" t="s">
        <v>433</v>
      </c>
      <c r="I93" s="91" t="s">
        <v>46</v>
      </c>
      <c r="J93" s="239">
        <v>43709</v>
      </c>
      <c r="K93" s="239">
        <v>44530</v>
      </c>
      <c r="L93" s="243">
        <v>11875</v>
      </c>
      <c r="M93" s="243">
        <v>3957.9375</v>
      </c>
    </row>
    <row r="94" spans="1:13" ht="15.75">
      <c r="A94" s="83">
        <v>507778</v>
      </c>
      <c r="B94" s="238">
        <v>211058</v>
      </c>
      <c r="C94" s="238" t="s">
        <v>1540</v>
      </c>
      <c r="D94" s="238"/>
      <c r="E94" s="238" t="s">
        <v>519</v>
      </c>
      <c r="F94" s="238" t="s">
        <v>353</v>
      </c>
      <c r="G94" s="238" t="s">
        <v>432</v>
      </c>
      <c r="H94" s="91" t="s">
        <v>433</v>
      </c>
      <c r="I94" s="91" t="s">
        <v>46</v>
      </c>
      <c r="J94" s="239">
        <v>43709</v>
      </c>
      <c r="K94" s="239">
        <v>44530</v>
      </c>
      <c r="L94" s="243">
        <v>76000</v>
      </c>
      <c r="M94" s="243">
        <v>25330.799999999999</v>
      </c>
    </row>
    <row r="95" spans="1:13" ht="15.75">
      <c r="A95" s="83">
        <v>507778</v>
      </c>
      <c r="B95" s="238">
        <v>212343</v>
      </c>
      <c r="C95" s="238" t="s">
        <v>1541</v>
      </c>
      <c r="D95" s="238" t="s">
        <v>516</v>
      </c>
      <c r="E95" s="238" t="s">
        <v>519</v>
      </c>
      <c r="F95" s="238" t="s">
        <v>353</v>
      </c>
      <c r="G95" s="238" t="s">
        <v>430</v>
      </c>
      <c r="H95" s="91" t="s">
        <v>431</v>
      </c>
      <c r="I95" s="91" t="s">
        <v>82</v>
      </c>
      <c r="J95" s="239">
        <v>43709</v>
      </c>
      <c r="K95" s="239">
        <v>44530</v>
      </c>
      <c r="L95" s="243">
        <v>25750</v>
      </c>
      <c r="M95" s="243">
        <v>8582.4750000000004</v>
      </c>
    </row>
    <row r="96" spans="1:13" ht="15.75">
      <c r="A96" s="83">
        <v>507778</v>
      </c>
      <c r="B96" s="238">
        <v>212343</v>
      </c>
      <c r="C96" s="238" t="s">
        <v>1541</v>
      </c>
      <c r="D96" s="238"/>
      <c r="E96" s="238" t="s">
        <v>519</v>
      </c>
      <c r="F96" s="238" t="s">
        <v>353</v>
      </c>
      <c r="G96" s="238" t="s">
        <v>430</v>
      </c>
      <c r="H96" s="91" t="s">
        <v>431</v>
      </c>
      <c r="I96" s="91" t="s">
        <v>82</v>
      </c>
      <c r="J96" s="239">
        <v>43709</v>
      </c>
      <c r="K96" s="239">
        <v>44530</v>
      </c>
      <c r="L96" s="243">
        <v>139000</v>
      </c>
      <c r="M96" s="243">
        <v>46328.7</v>
      </c>
    </row>
    <row r="97" spans="1:13" ht="15.75">
      <c r="A97" s="83">
        <v>507779</v>
      </c>
      <c r="B97" s="238">
        <v>200037</v>
      </c>
      <c r="C97" s="238" t="s">
        <v>1542</v>
      </c>
      <c r="D97" s="238"/>
      <c r="E97" s="238" t="s">
        <v>519</v>
      </c>
      <c r="F97" s="238" t="s">
        <v>353</v>
      </c>
      <c r="G97" s="238" t="s">
        <v>438</v>
      </c>
      <c r="H97" s="91" t="s">
        <v>439</v>
      </c>
      <c r="I97" s="91" t="s">
        <v>75</v>
      </c>
      <c r="J97" s="239">
        <v>43709</v>
      </c>
      <c r="K97" s="239">
        <v>44530</v>
      </c>
      <c r="L97" s="243">
        <v>95000</v>
      </c>
      <c r="M97" s="243">
        <v>31663.5</v>
      </c>
    </row>
    <row r="98" spans="1:13" ht="15.75">
      <c r="A98" s="83">
        <v>507779</v>
      </c>
      <c r="B98" s="238">
        <v>208609</v>
      </c>
      <c r="C98" s="238" t="s">
        <v>1543</v>
      </c>
      <c r="D98" s="238"/>
      <c r="E98" s="238" t="s">
        <v>519</v>
      </c>
      <c r="F98" s="238" t="s">
        <v>353</v>
      </c>
      <c r="G98" s="238" t="s">
        <v>435</v>
      </c>
      <c r="H98" s="91" t="s">
        <v>436</v>
      </c>
      <c r="I98" s="91" t="s">
        <v>82</v>
      </c>
      <c r="J98" s="239">
        <v>43709</v>
      </c>
      <c r="K98" s="239">
        <v>44530</v>
      </c>
      <c r="L98" s="243">
        <v>200000</v>
      </c>
      <c r="M98" s="243">
        <v>66660</v>
      </c>
    </row>
    <row r="99" spans="1:13" ht="15.75">
      <c r="A99" s="83">
        <v>507779</v>
      </c>
      <c r="B99" s="238">
        <v>208616</v>
      </c>
      <c r="C99" s="238" t="s">
        <v>1544</v>
      </c>
      <c r="D99" s="238"/>
      <c r="E99" s="238" t="s">
        <v>519</v>
      </c>
      <c r="F99" s="238" t="s">
        <v>353</v>
      </c>
      <c r="G99" s="238" t="s">
        <v>437</v>
      </c>
      <c r="H99" s="91" t="s">
        <v>334</v>
      </c>
      <c r="I99" s="91" t="s">
        <v>53</v>
      </c>
      <c r="J99" s="239">
        <v>43709</v>
      </c>
      <c r="K99" s="239">
        <v>44530</v>
      </c>
      <c r="L99" s="243">
        <v>80000</v>
      </c>
      <c r="M99" s="243">
        <v>26664</v>
      </c>
    </row>
    <row r="100" spans="1:13" ht="15.75">
      <c r="A100" s="83">
        <v>507779</v>
      </c>
      <c r="B100" s="238">
        <v>208630</v>
      </c>
      <c r="C100" s="238" t="s">
        <v>1545</v>
      </c>
      <c r="D100" s="238"/>
      <c r="E100" s="238" t="s">
        <v>519</v>
      </c>
      <c r="F100" s="238" t="s">
        <v>353</v>
      </c>
      <c r="G100" s="238" t="s">
        <v>440</v>
      </c>
      <c r="H100" s="91" t="s">
        <v>329</v>
      </c>
      <c r="I100" s="91" t="s">
        <v>53</v>
      </c>
      <c r="J100" s="239">
        <v>43709</v>
      </c>
      <c r="K100" s="239">
        <v>44530</v>
      </c>
      <c r="L100" s="243">
        <v>75000</v>
      </c>
      <c r="M100" s="243">
        <v>24997.5</v>
      </c>
    </row>
    <row r="101" spans="1:13" ht="15.75">
      <c r="A101" s="83">
        <v>507779</v>
      </c>
      <c r="B101" s="238">
        <v>208631</v>
      </c>
      <c r="C101" s="238" t="s">
        <v>1546</v>
      </c>
      <c r="D101" s="238"/>
      <c r="E101" s="238" t="s">
        <v>519</v>
      </c>
      <c r="F101" s="238" t="s">
        <v>353</v>
      </c>
      <c r="G101" s="238" t="s">
        <v>443</v>
      </c>
      <c r="H101" s="91" t="s">
        <v>444</v>
      </c>
      <c r="I101" s="91" t="s">
        <v>53</v>
      </c>
      <c r="J101" s="239">
        <v>43709</v>
      </c>
      <c r="K101" s="239">
        <v>44530</v>
      </c>
      <c r="L101" s="243">
        <v>50000</v>
      </c>
      <c r="M101" s="243">
        <v>16665</v>
      </c>
    </row>
    <row r="102" spans="1:13" ht="15.75">
      <c r="A102" s="83">
        <v>507779</v>
      </c>
      <c r="B102" s="238">
        <v>208750</v>
      </c>
      <c r="C102" s="238" t="s">
        <v>1547</v>
      </c>
      <c r="D102" s="238"/>
      <c r="E102" s="238" t="s">
        <v>519</v>
      </c>
      <c r="F102" s="238" t="s">
        <v>353</v>
      </c>
      <c r="G102" s="238" t="s">
        <v>441</v>
      </c>
      <c r="H102" s="91" t="s">
        <v>336</v>
      </c>
      <c r="I102" s="91" t="s">
        <v>53</v>
      </c>
      <c r="J102" s="239">
        <v>43709</v>
      </c>
      <c r="K102" s="239">
        <v>44530</v>
      </c>
      <c r="L102" s="243">
        <v>70000</v>
      </c>
      <c r="M102" s="243">
        <v>23331</v>
      </c>
    </row>
    <row r="103" spans="1:13" ht="15.75">
      <c r="A103" s="83">
        <v>507779</v>
      </c>
      <c r="B103" s="238">
        <v>209346</v>
      </c>
      <c r="C103" s="238" t="s">
        <v>1548</v>
      </c>
      <c r="D103" s="238"/>
      <c r="E103" s="238" t="s">
        <v>519</v>
      </c>
      <c r="F103" s="238" t="s">
        <v>353</v>
      </c>
      <c r="G103" s="238" t="s">
        <v>442</v>
      </c>
      <c r="H103" s="91" t="s">
        <v>327</v>
      </c>
      <c r="I103" s="91" t="s">
        <v>53</v>
      </c>
      <c r="J103" s="239">
        <v>43709</v>
      </c>
      <c r="K103" s="239">
        <v>44530</v>
      </c>
      <c r="L103" s="243">
        <v>80000</v>
      </c>
      <c r="M103" s="243">
        <v>26664</v>
      </c>
    </row>
    <row r="104" spans="1:13" ht="15.75">
      <c r="A104" s="83">
        <v>507782</v>
      </c>
      <c r="B104" s="83">
        <v>202616</v>
      </c>
      <c r="C104" s="83" t="s">
        <v>1549</v>
      </c>
      <c r="D104" s="83"/>
      <c r="E104" s="83" t="s">
        <v>520</v>
      </c>
      <c r="F104" s="83" t="s">
        <v>6</v>
      </c>
      <c r="G104" s="83" t="s">
        <v>47</v>
      </c>
      <c r="H104" s="86" t="s">
        <v>346</v>
      </c>
      <c r="I104" s="86" t="s">
        <v>46</v>
      </c>
      <c r="J104" s="239">
        <v>43709</v>
      </c>
      <c r="K104" s="239">
        <v>44742</v>
      </c>
      <c r="L104" s="84">
        <v>300000</v>
      </c>
      <c r="M104" s="84">
        <v>99990</v>
      </c>
    </row>
    <row r="105" spans="1:13" ht="15.75">
      <c r="A105" s="83">
        <v>508292</v>
      </c>
      <c r="B105" s="238">
        <v>211058</v>
      </c>
      <c r="C105" s="238" t="s">
        <v>1550</v>
      </c>
      <c r="D105" s="238" t="s">
        <v>516</v>
      </c>
      <c r="E105" s="238" t="s">
        <v>519</v>
      </c>
      <c r="F105" s="238" t="s">
        <v>353</v>
      </c>
      <c r="G105" s="238" t="s">
        <v>432</v>
      </c>
      <c r="H105" s="91" t="s">
        <v>338</v>
      </c>
      <c r="I105" s="91" t="s">
        <v>46</v>
      </c>
      <c r="J105" s="239">
        <v>43709</v>
      </c>
      <c r="K105" s="239">
        <v>44530</v>
      </c>
      <c r="L105" s="243">
        <v>18750</v>
      </c>
      <c r="M105" s="243">
        <v>6249.375</v>
      </c>
    </row>
    <row r="106" spans="1:13" ht="15.75">
      <c r="A106" s="83">
        <v>508292</v>
      </c>
      <c r="B106" s="238">
        <v>211058</v>
      </c>
      <c r="C106" s="238" t="s">
        <v>1550</v>
      </c>
      <c r="D106" s="238"/>
      <c r="E106" s="238" t="s">
        <v>519</v>
      </c>
      <c r="F106" s="238" t="s">
        <v>353</v>
      </c>
      <c r="G106" s="238" t="s">
        <v>432</v>
      </c>
      <c r="H106" s="91" t="s">
        <v>445</v>
      </c>
      <c r="I106" s="91" t="s">
        <v>46</v>
      </c>
      <c r="J106" s="239">
        <v>43709</v>
      </c>
      <c r="K106" s="239">
        <v>44530</v>
      </c>
      <c r="L106" s="243">
        <v>100000</v>
      </c>
      <c r="M106" s="243">
        <v>33330</v>
      </c>
    </row>
    <row r="107" spans="1:13" ht="15.75">
      <c r="A107" s="96">
        <v>509180</v>
      </c>
      <c r="B107" s="83">
        <v>209792</v>
      </c>
      <c r="C107" s="83" t="s">
        <v>1551</v>
      </c>
      <c r="D107" s="83"/>
      <c r="E107" s="83" t="s">
        <v>518</v>
      </c>
      <c r="F107" s="83" t="s">
        <v>8</v>
      </c>
      <c r="G107" s="83" t="s">
        <v>450</v>
      </c>
      <c r="H107" s="86" t="s">
        <v>451</v>
      </c>
      <c r="I107" s="86" t="s">
        <v>46</v>
      </c>
      <c r="J107" s="239">
        <v>43952</v>
      </c>
      <c r="K107" s="239">
        <v>44805</v>
      </c>
      <c r="L107" s="243">
        <v>165101</v>
      </c>
      <c r="M107" s="84">
        <v>55028.1633</v>
      </c>
    </row>
    <row r="108" spans="1:13" ht="15.75">
      <c r="A108" s="96">
        <v>509181</v>
      </c>
      <c r="B108" s="83">
        <v>209792</v>
      </c>
      <c r="C108" s="83" t="s">
        <v>1552</v>
      </c>
      <c r="D108" s="83" t="s">
        <v>516</v>
      </c>
      <c r="E108" s="83" t="s">
        <v>518</v>
      </c>
      <c r="F108" s="83" t="s">
        <v>8</v>
      </c>
      <c r="G108" s="83" t="s">
        <v>450</v>
      </c>
      <c r="H108" s="86" t="s">
        <v>451</v>
      </c>
      <c r="I108" s="86" t="s">
        <v>46</v>
      </c>
      <c r="J108" s="239">
        <v>43952</v>
      </c>
      <c r="K108" s="239">
        <v>44805</v>
      </c>
      <c r="L108" s="84">
        <v>608571</v>
      </c>
      <c r="M108" s="84">
        <v>202836.71429999999</v>
      </c>
    </row>
    <row r="109" spans="1:13" ht="15.75">
      <c r="A109" s="96">
        <v>509181</v>
      </c>
      <c r="B109" s="83">
        <v>209792</v>
      </c>
      <c r="C109" s="83" t="s">
        <v>1552</v>
      </c>
      <c r="D109" s="83" t="s">
        <v>516</v>
      </c>
      <c r="E109" s="83" t="s">
        <v>518</v>
      </c>
      <c r="F109" s="83" t="s">
        <v>8</v>
      </c>
      <c r="G109" s="83" t="s">
        <v>450</v>
      </c>
      <c r="H109" s="86" t="s">
        <v>451</v>
      </c>
      <c r="I109" s="86" t="s">
        <v>46</v>
      </c>
      <c r="J109" s="239">
        <v>43952</v>
      </c>
      <c r="K109" s="239">
        <v>44805</v>
      </c>
      <c r="L109" s="84">
        <v>-445000</v>
      </c>
      <c r="M109" s="84">
        <v>-148318.5</v>
      </c>
    </row>
    <row r="110" spans="1:13" ht="15.75">
      <c r="A110" s="83">
        <v>509181</v>
      </c>
      <c r="B110" s="238">
        <v>209792</v>
      </c>
      <c r="C110" s="238" t="s">
        <v>1552</v>
      </c>
      <c r="D110" s="238"/>
      <c r="E110" s="238" t="s">
        <v>518</v>
      </c>
      <c r="F110" s="238" t="s">
        <v>8</v>
      </c>
      <c r="G110" s="238" t="s">
        <v>450</v>
      </c>
      <c r="H110" s="86" t="s">
        <v>451</v>
      </c>
      <c r="I110" s="86" t="s">
        <v>46</v>
      </c>
      <c r="J110" s="239">
        <v>43952</v>
      </c>
      <c r="K110" s="239">
        <v>44805</v>
      </c>
      <c r="L110" s="243">
        <v>445000</v>
      </c>
      <c r="M110" s="243">
        <v>148318.5</v>
      </c>
    </row>
    <row r="111" spans="1:13" ht="15.75">
      <c r="A111" s="83">
        <v>509284</v>
      </c>
      <c r="B111" s="83">
        <v>206595</v>
      </c>
      <c r="C111" s="83" t="s">
        <v>1553</v>
      </c>
      <c r="D111" s="83"/>
      <c r="E111" s="83" t="s">
        <v>517</v>
      </c>
      <c r="F111" s="83" t="s">
        <v>488</v>
      </c>
      <c r="G111" s="83" t="s">
        <v>368</v>
      </c>
      <c r="H111" s="86" t="s">
        <v>502</v>
      </c>
      <c r="I111" s="86" t="s">
        <v>46</v>
      </c>
      <c r="J111" s="239">
        <v>44013</v>
      </c>
      <c r="K111" s="239">
        <v>44742</v>
      </c>
      <c r="L111" s="84">
        <v>75000</v>
      </c>
      <c r="M111" s="84">
        <v>24997.5</v>
      </c>
    </row>
    <row r="112" spans="1:13" ht="15.75">
      <c r="A112" s="83">
        <v>509285</v>
      </c>
      <c r="B112" s="83">
        <v>209801</v>
      </c>
      <c r="C112" s="83" t="s">
        <v>1554</v>
      </c>
      <c r="D112" s="83"/>
      <c r="E112" s="83" t="s">
        <v>517</v>
      </c>
      <c r="F112" s="83" t="s">
        <v>488</v>
      </c>
      <c r="G112" s="83" t="s">
        <v>503</v>
      </c>
      <c r="H112" s="86" t="s">
        <v>504</v>
      </c>
      <c r="I112" s="86" t="s">
        <v>68</v>
      </c>
      <c r="J112" s="239">
        <v>44013</v>
      </c>
      <c r="K112" s="239">
        <v>44742</v>
      </c>
      <c r="L112" s="84">
        <v>75000</v>
      </c>
      <c r="M112" s="84">
        <v>24997.5</v>
      </c>
    </row>
    <row r="113" spans="1:13" ht="15.75">
      <c r="A113" s="83">
        <v>509588</v>
      </c>
      <c r="B113" s="238">
        <v>208607</v>
      </c>
      <c r="C113" s="238" t="s">
        <v>1555</v>
      </c>
      <c r="D113" s="238"/>
      <c r="E113" s="238" t="s">
        <v>517</v>
      </c>
      <c r="F113" s="238" t="s">
        <v>488</v>
      </c>
      <c r="G113" s="238" t="s">
        <v>391</v>
      </c>
      <c r="H113" s="86" t="s">
        <v>505</v>
      </c>
      <c r="I113" s="86" t="s">
        <v>53</v>
      </c>
      <c r="J113" s="239">
        <v>44013</v>
      </c>
      <c r="K113" s="239">
        <v>44742</v>
      </c>
      <c r="L113" s="84">
        <v>75000</v>
      </c>
      <c r="M113" s="84">
        <v>24997.5</v>
      </c>
    </row>
    <row r="114" spans="1:13" ht="15.75">
      <c r="A114" s="83">
        <v>509589</v>
      </c>
      <c r="B114" s="83">
        <v>212183</v>
      </c>
      <c r="C114" s="83" t="s">
        <v>1556</v>
      </c>
      <c r="D114" s="83"/>
      <c r="E114" s="83" t="s">
        <v>517</v>
      </c>
      <c r="F114" s="83" t="s">
        <v>488</v>
      </c>
      <c r="G114" s="83" t="s">
        <v>464</v>
      </c>
      <c r="H114" s="86" t="s">
        <v>507</v>
      </c>
      <c r="I114" s="86" t="s">
        <v>68</v>
      </c>
      <c r="J114" s="239">
        <v>44075</v>
      </c>
      <c r="K114" s="239">
        <v>44804</v>
      </c>
      <c r="L114" s="84">
        <v>75000</v>
      </c>
      <c r="M114" s="84">
        <v>24997.5</v>
      </c>
    </row>
    <row r="115" spans="1:13" ht="15.75">
      <c r="A115" s="83">
        <v>509633</v>
      </c>
      <c r="B115" s="83">
        <v>209400</v>
      </c>
      <c r="C115" s="83" t="s">
        <v>1557</v>
      </c>
      <c r="D115" s="83" t="s">
        <v>516</v>
      </c>
      <c r="E115" s="83" t="s">
        <v>19</v>
      </c>
      <c r="F115" s="83" t="s">
        <v>19</v>
      </c>
      <c r="G115" s="83" t="s">
        <v>343</v>
      </c>
      <c r="H115" s="86" t="s">
        <v>471</v>
      </c>
      <c r="I115" s="86" t="s">
        <v>46</v>
      </c>
      <c r="J115" s="239">
        <v>44044</v>
      </c>
      <c r="K115" s="239">
        <v>44408</v>
      </c>
      <c r="L115" s="84">
        <v>100000</v>
      </c>
      <c r="M115" s="84">
        <v>33330</v>
      </c>
    </row>
    <row r="116" spans="1:13" ht="15.75">
      <c r="A116" s="83">
        <v>509633</v>
      </c>
      <c r="B116" s="83">
        <v>209400</v>
      </c>
      <c r="C116" s="83" t="s">
        <v>1557</v>
      </c>
      <c r="D116" s="83" t="s">
        <v>516</v>
      </c>
      <c r="E116" s="83" t="s">
        <v>19</v>
      </c>
      <c r="F116" s="83" t="s">
        <v>19</v>
      </c>
      <c r="G116" s="83" t="s">
        <v>343</v>
      </c>
      <c r="H116" s="86" t="s">
        <v>471</v>
      </c>
      <c r="I116" s="86" t="s">
        <v>46</v>
      </c>
      <c r="J116" s="239">
        <v>44044</v>
      </c>
      <c r="K116" s="239">
        <v>44408</v>
      </c>
      <c r="L116" s="84">
        <v>-64100</v>
      </c>
      <c r="M116" s="243">
        <v>-21364.53</v>
      </c>
    </row>
    <row r="117" spans="1:13" ht="15.75">
      <c r="A117" s="83">
        <v>509633</v>
      </c>
      <c r="B117" s="238">
        <v>209400</v>
      </c>
      <c r="C117" s="238" t="s">
        <v>1557</v>
      </c>
      <c r="D117" s="238"/>
      <c r="E117" s="238" t="s">
        <v>19</v>
      </c>
      <c r="F117" s="238" t="s">
        <v>19</v>
      </c>
      <c r="G117" s="238" t="s">
        <v>343</v>
      </c>
      <c r="H117" s="91" t="s">
        <v>471</v>
      </c>
      <c r="I117" s="91" t="s">
        <v>46</v>
      </c>
      <c r="J117" s="239">
        <v>44044</v>
      </c>
      <c r="K117" s="239">
        <v>44408</v>
      </c>
      <c r="L117" s="243">
        <v>64100</v>
      </c>
      <c r="M117" s="243">
        <v>21364.53</v>
      </c>
    </row>
    <row r="118" spans="1:13" ht="15.75">
      <c r="A118" s="83">
        <v>509653</v>
      </c>
      <c r="B118" s="83">
        <v>207233</v>
      </c>
      <c r="C118" s="83" t="s">
        <v>1558</v>
      </c>
      <c r="D118" s="83"/>
      <c r="E118" s="83" t="s">
        <v>19</v>
      </c>
      <c r="F118" s="83" t="s">
        <v>19</v>
      </c>
      <c r="G118" s="83" t="s">
        <v>373</v>
      </c>
      <c r="H118" s="86" t="s">
        <v>215</v>
      </c>
      <c r="I118" s="86" t="s">
        <v>46</v>
      </c>
      <c r="J118" s="239">
        <v>44044</v>
      </c>
      <c r="K118" s="239">
        <v>44408</v>
      </c>
      <c r="L118" s="84">
        <v>10000</v>
      </c>
      <c r="M118" s="84">
        <v>3333</v>
      </c>
    </row>
    <row r="119" spans="1:13" ht="15.75">
      <c r="A119" s="83">
        <v>509653</v>
      </c>
      <c r="B119" s="83">
        <v>209194</v>
      </c>
      <c r="C119" s="83" t="s">
        <v>1559</v>
      </c>
      <c r="D119" s="83"/>
      <c r="E119" s="83" t="s">
        <v>19</v>
      </c>
      <c r="F119" s="83" t="s">
        <v>19</v>
      </c>
      <c r="G119" s="83" t="s">
        <v>472</v>
      </c>
      <c r="H119" s="86" t="s">
        <v>473</v>
      </c>
      <c r="I119" s="86" t="s">
        <v>46</v>
      </c>
      <c r="J119" s="239">
        <v>44044</v>
      </c>
      <c r="K119" s="239">
        <v>44408</v>
      </c>
      <c r="L119" s="84">
        <v>90000</v>
      </c>
      <c r="M119" s="84">
        <v>29997</v>
      </c>
    </row>
    <row r="120" spans="1:13" ht="15.75">
      <c r="A120" s="83">
        <v>509666</v>
      </c>
      <c r="B120" s="83">
        <v>208489</v>
      </c>
      <c r="C120" s="83" t="s">
        <v>1560</v>
      </c>
      <c r="D120" s="83"/>
      <c r="E120" s="83" t="s">
        <v>19</v>
      </c>
      <c r="F120" s="83" t="s">
        <v>19</v>
      </c>
      <c r="G120" s="83" t="s">
        <v>395</v>
      </c>
      <c r="H120" s="86" t="s">
        <v>219</v>
      </c>
      <c r="I120" s="86" t="s">
        <v>68</v>
      </c>
      <c r="J120" s="239">
        <v>44044</v>
      </c>
      <c r="K120" s="239">
        <v>44408</v>
      </c>
      <c r="L120" s="84">
        <v>33000</v>
      </c>
      <c r="M120" s="84">
        <v>10998.9</v>
      </c>
    </row>
    <row r="121" spans="1:13" ht="15.75">
      <c r="A121" s="83">
        <v>509666</v>
      </c>
      <c r="B121" s="83">
        <v>208810</v>
      </c>
      <c r="C121" s="83" t="s">
        <v>1561</v>
      </c>
      <c r="D121" s="83"/>
      <c r="E121" s="83" t="s">
        <v>19</v>
      </c>
      <c r="F121" s="83" t="s">
        <v>19</v>
      </c>
      <c r="G121" s="83" t="s">
        <v>398</v>
      </c>
      <c r="H121" s="86" t="s">
        <v>220</v>
      </c>
      <c r="I121" s="86" t="s">
        <v>53</v>
      </c>
      <c r="J121" s="239">
        <v>44044</v>
      </c>
      <c r="K121" s="239">
        <v>44408</v>
      </c>
      <c r="L121" s="84">
        <v>23000</v>
      </c>
      <c r="M121" s="84">
        <v>7665.9</v>
      </c>
    </row>
    <row r="122" spans="1:13" ht="15.75">
      <c r="A122" s="83">
        <v>509666</v>
      </c>
      <c r="B122" s="83">
        <v>209438</v>
      </c>
      <c r="C122" s="83" t="s">
        <v>1562</v>
      </c>
      <c r="D122" s="83"/>
      <c r="E122" s="83" t="s">
        <v>19</v>
      </c>
      <c r="F122" s="83" t="s">
        <v>19</v>
      </c>
      <c r="G122" s="83" t="s">
        <v>457</v>
      </c>
      <c r="H122" s="86" t="s">
        <v>474</v>
      </c>
      <c r="I122" s="86" t="s">
        <v>46</v>
      </c>
      <c r="J122" s="239">
        <v>44044</v>
      </c>
      <c r="K122" s="239">
        <v>44408</v>
      </c>
      <c r="L122" s="84">
        <v>44000</v>
      </c>
      <c r="M122" s="84">
        <v>14665.199999999999</v>
      </c>
    </row>
    <row r="123" spans="1:13" ht="15.75">
      <c r="A123" s="83">
        <v>509667</v>
      </c>
      <c r="B123" s="83">
        <v>209936</v>
      </c>
      <c r="C123" s="83" t="s">
        <v>1563</v>
      </c>
      <c r="D123" s="83"/>
      <c r="E123" s="83" t="s">
        <v>19</v>
      </c>
      <c r="F123" s="83" t="s">
        <v>19</v>
      </c>
      <c r="G123" s="83" t="s">
        <v>475</v>
      </c>
      <c r="H123" s="86" t="s">
        <v>222</v>
      </c>
      <c r="I123" s="86" t="s">
        <v>68</v>
      </c>
      <c r="J123" s="239">
        <v>44044</v>
      </c>
      <c r="K123" s="239">
        <v>44773</v>
      </c>
      <c r="L123" s="84">
        <v>100000</v>
      </c>
      <c r="M123" s="84">
        <v>33330</v>
      </c>
    </row>
    <row r="124" spans="1:13" ht="15.75">
      <c r="A124" s="83">
        <v>509703</v>
      </c>
      <c r="B124" s="83">
        <v>200483</v>
      </c>
      <c r="C124" s="83" t="s">
        <v>1564</v>
      </c>
      <c r="D124" s="83"/>
      <c r="E124" s="83" t="s">
        <v>19</v>
      </c>
      <c r="F124" s="83" t="s">
        <v>19</v>
      </c>
      <c r="G124" s="83" t="s">
        <v>476</v>
      </c>
      <c r="H124" s="86" t="s">
        <v>477</v>
      </c>
      <c r="I124" s="86" t="s">
        <v>68</v>
      </c>
      <c r="J124" s="239">
        <v>44044</v>
      </c>
      <c r="K124" s="239">
        <v>44408</v>
      </c>
      <c r="L124" s="84">
        <v>20000</v>
      </c>
      <c r="M124" s="84">
        <v>6666</v>
      </c>
    </row>
    <row r="125" spans="1:13" ht="15.75">
      <c r="A125" s="83">
        <v>509703</v>
      </c>
      <c r="B125" s="83">
        <v>209946</v>
      </c>
      <c r="C125" s="83" t="s">
        <v>1565</v>
      </c>
      <c r="D125" s="83"/>
      <c r="E125" s="83" t="s">
        <v>19</v>
      </c>
      <c r="F125" s="83" t="s">
        <v>19</v>
      </c>
      <c r="G125" s="83" t="s">
        <v>478</v>
      </c>
      <c r="H125" s="86" t="s">
        <v>479</v>
      </c>
      <c r="I125" s="86" t="s">
        <v>68</v>
      </c>
      <c r="J125" s="239">
        <v>44044</v>
      </c>
      <c r="K125" s="239">
        <v>44408</v>
      </c>
      <c r="L125" s="84">
        <v>80000</v>
      </c>
      <c r="M125" s="84">
        <v>26664</v>
      </c>
    </row>
    <row r="126" spans="1:13" ht="15.75">
      <c r="A126" s="83">
        <v>509882</v>
      </c>
      <c r="B126" s="83">
        <v>206244</v>
      </c>
      <c r="C126" s="83" t="s">
        <v>1566</v>
      </c>
      <c r="D126" s="83"/>
      <c r="E126" s="83" t="s">
        <v>19</v>
      </c>
      <c r="F126" s="83" t="s">
        <v>19</v>
      </c>
      <c r="G126" s="83" t="s">
        <v>480</v>
      </c>
      <c r="H126" s="86" t="s">
        <v>481</v>
      </c>
      <c r="I126" s="86" t="s">
        <v>46</v>
      </c>
      <c r="J126" s="239">
        <v>44044</v>
      </c>
      <c r="K126" s="239">
        <v>44592</v>
      </c>
      <c r="L126" s="84">
        <v>19335</v>
      </c>
      <c r="M126" s="84">
        <v>6444.3554999999997</v>
      </c>
    </row>
    <row r="127" spans="1:13" ht="15.75">
      <c r="A127" s="83">
        <v>509882</v>
      </c>
      <c r="B127" s="83">
        <v>208725</v>
      </c>
      <c r="C127" s="83" t="s">
        <v>1567</v>
      </c>
      <c r="D127" s="83"/>
      <c r="E127" s="83" t="s">
        <v>19</v>
      </c>
      <c r="F127" s="83" t="s">
        <v>19</v>
      </c>
      <c r="G127" s="83" t="s">
        <v>482</v>
      </c>
      <c r="H127" s="86" t="s">
        <v>483</v>
      </c>
      <c r="I127" s="86" t="s">
        <v>68</v>
      </c>
      <c r="J127" s="239">
        <v>44044</v>
      </c>
      <c r="K127" s="239">
        <v>44592</v>
      </c>
      <c r="L127" s="84">
        <v>41300</v>
      </c>
      <c r="M127" s="84">
        <v>13765.289999999999</v>
      </c>
    </row>
    <row r="128" spans="1:13" ht="15.75">
      <c r="A128" s="83">
        <v>509882</v>
      </c>
      <c r="B128" s="83">
        <v>211534</v>
      </c>
      <c r="C128" s="83" t="s">
        <v>1568</v>
      </c>
      <c r="D128" s="83"/>
      <c r="E128" s="83" t="s">
        <v>19</v>
      </c>
      <c r="F128" s="83" t="s">
        <v>19</v>
      </c>
      <c r="G128" s="83" t="s">
        <v>484</v>
      </c>
      <c r="H128" s="86" t="s">
        <v>485</v>
      </c>
      <c r="I128" s="86" t="s">
        <v>68</v>
      </c>
      <c r="J128" s="239">
        <v>44044</v>
      </c>
      <c r="K128" s="239">
        <v>44592</v>
      </c>
      <c r="L128" s="84">
        <v>39365</v>
      </c>
      <c r="M128" s="84">
        <v>13120.354499999999</v>
      </c>
    </row>
    <row r="129" spans="1:13" ht="15.75">
      <c r="A129" s="83">
        <v>511140</v>
      </c>
      <c r="B129" s="238">
        <v>212630</v>
      </c>
      <c r="C129" s="238" t="s">
        <v>1569</v>
      </c>
      <c r="D129" s="238"/>
      <c r="E129" s="238" t="s">
        <v>19</v>
      </c>
      <c r="F129" s="238" t="s">
        <v>19</v>
      </c>
      <c r="G129" s="238" t="s">
        <v>486</v>
      </c>
      <c r="H129" s="91" t="s">
        <v>487</v>
      </c>
      <c r="I129" s="91" t="s">
        <v>46</v>
      </c>
      <c r="J129" s="239">
        <v>44044</v>
      </c>
      <c r="K129" s="239">
        <v>44408</v>
      </c>
      <c r="L129" s="243">
        <v>100000</v>
      </c>
      <c r="M129" s="243">
        <v>33330</v>
      </c>
    </row>
    <row r="130" spans="1:13" ht="15.75">
      <c r="A130" s="83">
        <v>511440</v>
      </c>
      <c r="B130" s="238">
        <v>208728</v>
      </c>
      <c r="C130" s="238" t="s">
        <v>1570</v>
      </c>
      <c r="D130" s="238"/>
      <c r="E130" s="238" t="s">
        <v>521</v>
      </c>
      <c r="F130" s="238" t="s">
        <v>341</v>
      </c>
      <c r="G130" s="238" t="s">
        <v>342</v>
      </c>
      <c r="H130" s="91" t="s">
        <v>180</v>
      </c>
      <c r="I130" s="91" t="s">
        <v>53</v>
      </c>
      <c r="J130" s="239">
        <v>44075</v>
      </c>
      <c r="K130" s="239">
        <v>44439</v>
      </c>
      <c r="L130" s="243">
        <v>12500</v>
      </c>
      <c r="M130" s="243">
        <v>4166.25</v>
      </c>
    </row>
    <row r="131" spans="1:13" ht="15.75">
      <c r="A131" s="83">
        <v>511440</v>
      </c>
      <c r="B131" s="238">
        <v>209400</v>
      </c>
      <c r="C131" s="238" t="s">
        <v>1571</v>
      </c>
      <c r="D131" s="238"/>
      <c r="E131" s="238" t="s">
        <v>521</v>
      </c>
      <c r="F131" s="238" t="s">
        <v>341</v>
      </c>
      <c r="G131" s="238" t="s">
        <v>343</v>
      </c>
      <c r="H131" s="91" t="s">
        <v>179</v>
      </c>
      <c r="I131" s="91" t="s">
        <v>46</v>
      </c>
      <c r="J131" s="239">
        <v>44075</v>
      </c>
      <c r="K131" s="239">
        <v>44439</v>
      </c>
      <c r="L131" s="243">
        <v>12500</v>
      </c>
      <c r="M131" s="243">
        <v>4166.25</v>
      </c>
    </row>
  </sheetData>
  <conditionalFormatting sqref="C1:C1048576">
    <cfRule type="duplicateValues" dxfId="7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A1:J131"/>
  <sheetViews>
    <sheetView topLeftCell="A25" workbookViewId="0">
      <selection activeCell="F1" sqref="F1:J1"/>
    </sheetView>
  </sheetViews>
  <sheetFormatPr defaultRowHeight="15"/>
  <cols>
    <col min="1" max="1" width="17.7109375" style="247" bestFit="1" customWidth="1"/>
    <col min="2" max="2" width="15.140625" bestFit="1" customWidth="1"/>
    <col min="3" max="3" width="40.5703125" bestFit="1" customWidth="1"/>
    <col min="4" max="4" width="27" bestFit="1" customWidth="1"/>
    <col min="5" max="5" width="34.42578125" bestFit="1" customWidth="1"/>
    <col min="6" max="6" width="10.7109375" bestFit="1" customWidth="1"/>
    <col min="7" max="7" width="12.28515625" bestFit="1" customWidth="1"/>
    <col min="8" max="8" width="13.7109375" bestFit="1" customWidth="1"/>
    <col min="9" max="10" width="15.85546875" bestFit="1" customWidth="1"/>
  </cols>
  <sheetData>
    <row r="1" spans="1:10" ht="16.5" thickBot="1">
      <c r="A1" s="246" t="s">
        <v>339</v>
      </c>
      <c r="B1" s="245" t="s">
        <v>340</v>
      </c>
      <c r="C1" s="248" t="s">
        <v>36</v>
      </c>
      <c r="D1" s="248" t="s">
        <v>1453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</row>
    <row r="2" spans="1:10" ht="16.5" thickTop="1">
      <c r="A2" s="83">
        <v>499942</v>
      </c>
      <c r="B2" s="238">
        <v>107525</v>
      </c>
      <c r="C2" s="238" t="s">
        <v>6</v>
      </c>
      <c r="D2" s="238" t="s">
        <v>44</v>
      </c>
      <c r="E2" s="238" t="s">
        <v>344</v>
      </c>
      <c r="F2" s="91" t="s">
        <v>46</v>
      </c>
      <c r="G2" s="239">
        <v>42248</v>
      </c>
      <c r="H2" s="239">
        <v>44651</v>
      </c>
      <c r="I2" s="243">
        <v>500000</v>
      </c>
      <c r="J2" s="84">
        <v>166650</v>
      </c>
    </row>
    <row r="3" spans="1:10" ht="15.75">
      <c r="A3" s="83">
        <v>501333</v>
      </c>
      <c r="B3" s="238">
        <v>207444</v>
      </c>
      <c r="C3" s="238" t="s">
        <v>347</v>
      </c>
      <c r="D3" s="238" t="s">
        <v>348</v>
      </c>
      <c r="E3" s="91" t="s">
        <v>349</v>
      </c>
      <c r="F3" s="91" t="s">
        <v>46</v>
      </c>
      <c r="G3" s="239">
        <v>42614</v>
      </c>
      <c r="H3" s="239">
        <v>43830</v>
      </c>
      <c r="I3" s="243">
        <v>-169.84</v>
      </c>
      <c r="J3" s="243">
        <v>-56.607672000000001</v>
      </c>
    </row>
    <row r="4" spans="1:10" ht="15.75">
      <c r="A4" s="83">
        <v>501337</v>
      </c>
      <c r="B4" s="238">
        <v>208379</v>
      </c>
      <c r="C4" s="238" t="s">
        <v>347</v>
      </c>
      <c r="D4" s="238" t="s">
        <v>350</v>
      </c>
      <c r="E4" s="91" t="s">
        <v>351</v>
      </c>
      <c r="F4" s="91" t="s">
        <v>46</v>
      </c>
      <c r="G4" s="239">
        <v>42614</v>
      </c>
      <c r="H4" s="239">
        <v>43708</v>
      </c>
      <c r="I4" s="243">
        <v>-47.3</v>
      </c>
      <c r="J4" s="243">
        <v>-15.765089999999999</v>
      </c>
    </row>
    <row r="5" spans="1:10" ht="15.75">
      <c r="A5" s="83">
        <v>501337</v>
      </c>
      <c r="B5" s="238">
        <v>208379</v>
      </c>
      <c r="C5" s="238" t="s">
        <v>347</v>
      </c>
      <c r="D5" s="238" t="s">
        <v>350</v>
      </c>
      <c r="E5" s="91" t="s">
        <v>351</v>
      </c>
      <c r="F5" s="91" t="s">
        <v>46</v>
      </c>
      <c r="G5" s="239">
        <v>42614</v>
      </c>
      <c r="H5" s="239">
        <v>43708</v>
      </c>
      <c r="I5" s="243">
        <v>-70.84</v>
      </c>
      <c r="J5" s="243">
        <v>-23.610972</v>
      </c>
    </row>
    <row r="6" spans="1:10" ht="15.75">
      <c r="A6" s="83">
        <v>501339</v>
      </c>
      <c r="B6" s="238">
        <v>208379</v>
      </c>
      <c r="C6" s="238" t="s">
        <v>347</v>
      </c>
      <c r="D6" s="238" t="s">
        <v>350</v>
      </c>
      <c r="E6" s="91" t="s">
        <v>352</v>
      </c>
      <c r="F6" s="91" t="s">
        <v>46</v>
      </c>
      <c r="G6" s="239">
        <v>42614</v>
      </c>
      <c r="H6" s="239">
        <v>43951</v>
      </c>
      <c r="I6" s="243">
        <v>-4.21</v>
      </c>
      <c r="J6" s="243">
        <v>-1.4031929999999999</v>
      </c>
    </row>
    <row r="7" spans="1:10" ht="15.75">
      <c r="A7" s="83">
        <v>501339</v>
      </c>
      <c r="B7" s="238">
        <v>208379</v>
      </c>
      <c r="C7" s="238" t="s">
        <v>347</v>
      </c>
      <c r="D7" s="238" t="s">
        <v>350</v>
      </c>
      <c r="E7" s="91" t="s">
        <v>352</v>
      </c>
      <c r="F7" s="91" t="s">
        <v>46</v>
      </c>
      <c r="G7" s="239">
        <v>42614</v>
      </c>
      <c r="H7" s="239">
        <v>43951</v>
      </c>
      <c r="I7" s="243">
        <v>-338.46</v>
      </c>
      <c r="J7" s="243">
        <v>-112.80871799999998</v>
      </c>
    </row>
    <row r="8" spans="1:10" ht="15.75">
      <c r="A8" s="96">
        <v>502535</v>
      </c>
      <c r="B8" s="83">
        <v>208616</v>
      </c>
      <c r="C8" s="83" t="s">
        <v>488</v>
      </c>
      <c r="D8" s="83" t="s">
        <v>437</v>
      </c>
      <c r="E8" s="238" t="s">
        <v>489</v>
      </c>
      <c r="F8" s="83" t="s">
        <v>53</v>
      </c>
      <c r="G8" s="239">
        <v>43070</v>
      </c>
      <c r="H8" s="239">
        <v>44196</v>
      </c>
      <c r="I8" s="84">
        <v>33333</v>
      </c>
      <c r="J8" s="84">
        <v>11109.8889</v>
      </c>
    </row>
    <row r="9" spans="1:10" ht="15.75">
      <c r="A9" s="96">
        <v>504320</v>
      </c>
      <c r="B9" s="83">
        <v>205554</v>
      </c>
      <c r="C9" s="83" t="s">
        <v>488</v>
      </c>
      <c r="D9" s="83" t="s">
        <v>490</v>
      </c>
      <c r="E9" s="240" t="s">
        <v>491</v>
      </c>
      <c r="F9" s="240" t="s">
        <v>46</v>
      </c>
      <c r="G9" s="239">
        <v>43221</v>
      </c>
      <c r="H9" s="239">
        <v>44286</v>
      </c>
      <c r="I9" s="241">
        <v>50000</v>
      </c>
      <c r="J9" s="84">
        <v>16665</v>
      </c>
    </row>
    <row r="10" spans="1:10" ht="15.75">
      <c r="A10" s="96">
        <v>504321</v>
      </c>
      <c r="B10" s="89">
        <v>205839</v>
      </c>
      <c r="C10" s="89" t="s">
        <v>488</v>
      </c>
      <c r="D10" s="89" t="s">
        <v>492</v>
      </c>
      <c r="E10" s="240" t="s">
        <v>493</v>
      </c>
      <c r="F10" s="240" t="s">
        <v>46</v>
      </c>
      <c r="G10" s="239">
        <v>43191</v>
      </c>
      <c r="H10" s="239">
        <v>44286</v>
      </c>
      <c r="I10" s="241">
        <v>50000</v>
      </c>
      <c r="J10" s="84">
        <v>16665</v>
      </c>
    </row>
    <row r="11" spans="1:10" ht="15.75">
      <c r="A11" s="96">
        <v>504322</v>
      </c>
      <c r="B11" s="83">
        <v>208617</v>
      </c>
      <c r="C11" s="83" t="s">
        <v>488</v>
      </c>
      <c r="D11" s="83" t="s">
        <v>469</v>
      </c>
      <c r="E11" s="240" t="s">
        <v>494</v>
      </c>
      <c r="F11" s="240" t="s">
        <v>68</v>
      </c>
      <c r="G11" s="239">
        <v>43221</v>
      </c>
      <c r="H11" s="239">
        <v>44408</v>
      </c>
      <c r="I11" s="241">
        <v>50000</v>
      </c>
      <c r="J11" s="84">
        <v>16665</v>
      </c>
    </row>
    <row r="12" spans="1:10" ht="15.75">
      <c r="A12" s="96">
        <v>504839</v>
      </c>
      <c r="B12" s="90">
        <v>209210</v>
      </c>
      <c r="C12" s="90" t="s">
        <v>8</v>
      </c>
      <c r="D12" s="90" t="s">
        <v>375</v>
      </c>
      <c r="E12" s="240" t="s">
        <v>446</v>
      </c>
      <c r="F12" s="91" t="s">
        <v>68</v>
      </c>
      <c r="G12" s="239">
        <v>43070</v>
      </c>
      <c r="H12" s="239">
        <v>44530</v>
      </c>
      <c r="I12" s="241">
        <v>87240</v>
      </c>
      <c r="J12" s="84">
        <v>29077.091999999997</v>
      </c>
    </row>
    <row r="13" spans="1:10" ht="15.75">
      <c r="A13" s="96">
        <v>504875</v>
      </c>
      <c r="B13" s="90">
        <v>209210</v>
      </c>
      <c r="C13" s="90" t="s">
        <v>8</v>
      </c>
      <c r="D13" s="90" t="s">
        <v>375</v>
      </c>
      <c r="E13" s="240" t="s">
        <v>446</v>
      </c>
      <c r="F13" s="91" t="s">
        <v>68</v>
      </c>
      <c r="G13" s="239">
        <v>43070</v>
      </c>
      <c r="H13" s="239">
        <v>44530</v>
      </c>
      <c r="I13" s="241">
        <v>47500</v>
      </c>
      <c r="J13" s="84">
        <v>15831.75</v>
      </c>
    </row>
    <row r="14" spans="1:10" ht="15.75">
      <c r="A14" s="96">
        <v>505082</v>
      </c>
      <c r="B14" s="83">
        <v>212504</v>
      </c>
      <c r="C14" s="83" t="s">
        <v>488</v>
      </c>
      <c r="D14" s="83" t="s">
        <v>371</v>
      </c>
      <c r="E14" s="240" t="s">
        <v>495</v>
      </c>
      <c r="F14" s="91" t="s">
        <v>68</v>
      </c>
      <c r="G14" s="239">
        <v>43191</v>
      </c>
      <c r="H14" s="239">
        <v>44286</v>
      </c>
      <c r="I14" s="241">
        <v>50000</v>
      </c>
      <c r="J14" s="84">
        <v>16665</v>
      </c>
    </row>
    <row r="15" spans="1:10" ht="15.75">
      <c r="A15" s="96">
        <v>505362</v>
      </c>
      <c r="B15" s="238">
        <v>209346</v>
      </c>
      <c r="C15" s="238" t="s">
        <v>8</v>
      </c>
      <c r="D15" s="238" t="s">
        <v>442</v>
      </c>
      <c r="E15" s="240" t="s">
        <v>447</v>
      </c>
      <c r="F15" s="91" t="s">
        <v>53</v>
      </c>
      <c r="G15" s="239">
        <v>43282</v>
      </c>
      <c r="H15" s="239">
        <v>44377</v>
      </c>
      <c r="I15" s="241">
        <v>150000</v>
      </c>
      <c r="J15" s="84">
        <v>49995</v>
      </c>
    </row>
    <row r="16" spans="1:10" ht="15.75">
      <c r="A16" s="96">
        <v>505749</v>
      </c>
      <c r="B16" s="238">
        <v>209403</v>
      </c>
      <c r="C16" s="238" t="s">
        <v>8</v>
      </c>
      <c r="D16" s="238" t="s">
        <v>448</v>
      </c>
      <c r="E16" s="240" t="s">
        <v>449</v>
      </c>
      <c r="F16" s="91" t="s">
        <v>53</v>
      </c>
      <c r="G16" s="239">
        <v>43313</v>
      </c>
      <c r="H16" s="239">
        <v>44408</v>
      </c>
      <c r="I16" s="241">
        <v>62500</v>
      </c>
      <c r="J16" s="84">
        <v>20831.25</v>
      </c>
    </row>
    <row r="17" spans="1:10" ht="15.75">
      <c r="A17" s="96">
        <v>506448</v>
      </c>
      <c r="B17" s="238">
        <v>208217</v>
      </c>
      <c r="C17" s="238" t="s">
        <v>488</v>
      </c>
      <c r="D17" s="238" t="s">
        <v>496</v>
      </c>
      <c r="E17" s="240" t="s">
        <v>497</v>
      </c>
      <c r="F17" s="240" t="s">
        <v>46</v>
      </c>
      <c r="G17" s="239">
        <v>43556</v>
      </c>
      <c r="H17" s="239">
        <v>44286</v>
      </c>
      <c r="I17" s="241">
        <v>50000</v>
      </c>
      <c r="J17" s="84">
        <v>16665</v>
      </c>
    </row>
    <row r="18" spans="1:10" ht="15.75">
      <c r="A18" s="96">
        <v>506449</v>
      </c>
      <c r="B18" s="238">
        <v>203820</v>
      </c>
      <c r="C18" s="238" t="s">
        <v>488</v>
      </c>
      <c r="D18" s="238" t="s">
        <v>369</v>
      </c>
      <c r="E18" s="240" t="s">
        <v>498</v>
      </c>
      <c r="F18" s="240" t="s">
        <v>46</v>
      </c>
      <c r="G18" s="239">
        <v>43556</v>
      </c>
      <c r="H18" s="239">
        <v>44286</v>
      </c>
      <c r="I18" s="241">
        <v>50000</v>
      </c>
      <c r="J18" s="84">
        <v>16665</v>
      </c>
    </row>
    <row r="19" spans="1:10" ht="15.75">
      <c r="A19" s="96">
        <v>506450</v>
      </c>
      <c r="B19" s="238">
        <v>208620</v>
      </c>
      <c r="C19" s="238" t="s">
        <v>488</v>
      </c>
      <c r="D19" s="238" t="s">
        <v>499</v>
      </c>
      <c r="E19" s="240" t="s">
        <v>500</v>
      </c>
      <c r="F19" s="240" t="s">
        <v>82</v>
      </c>
      <c r="G19" s="239">
        <v>43556</v>
      </c>
      <c r="H19" s="239">
        <v>44651</v>
      </c>
      <c r="I19" s="241">
        <v>50000</v>
      </c>
      <c r="J19" s="84">
        <v>16665</v>
      </c>
    </row>
    <row r="20" spans="1:10" ht="15.75">
      <c r="A20" s="96">
        <v>506451</v>
      </c>
      <c r="B20" s="238">
        <v>207233</v>
      </c>
      <c r="C20" s="238" t="s">
        <v>488</v>
      </c>
      <c r="D20" s="238" t="s">
        <v>373</v>
      </c>
      <c r="E20" s="240" t="s">
        <v>501</v>
      </c>
      <c r="F20" s="240" t="s">
        <v>46</v>
      </c>
      <c r="G20" s="239">
        <v>43556</v>
      </c>
      <c r="H20" s="239">
        <v>44651</v>
      </c>
      <c r="I20" s="241">
        <v>50000</v>
      </c>
      <c r="J20" s="84">
        <v>16665</v>
      </c>
    </row>
    <row r="21" spans="1:10" ht="15.75">
      <c r="A21" s="83">
        <v>506456</v>
      </c>
      <c r="B21" s="238">
        <v>207032</v>
      </c>
      <c r="C21" s="238" t="s">
        <v>19</v>
      </c>
      <c r="D21" s="238" t="s">
        <v>455</v>
      </c>
      <c r="E21" s="91" t="s">
        <v>456</v>
      </c>
      <c r="F21" s="91" t="s">
        <v>46</v>
      </c>
      <c r="G21" s="239">
        <v>43556</v>
      </c>
      <c r="H21" s="239">
        <v>44561</v>
      </c>
      <c r="I21" s="243">
        <v>50000</v>
      </c>
      <c r="J21" s="243">
        <v>16665</v>
      </c>
    </row>
    <row r="22" spans="1:10" ht="15.75">
      <c r="A22" s="83">
        <v>506456</v>
      </c>
      <c r="B22" s="238">
        <v>209438</v>
      </c>
      <c r="C22" s="238" t="s">
        <v>19</v>
      </c>
      <c r="D22" s="238" t="s">
        <v>457</v>
      </c>
      <c r="E22" s="91" t="s">
        <v>458</v>
      </c>
      <c r="F22" s="91" t="s">
        <v>46</v>
      </c>
      <c r="G22" s="239">
        <v>43556</v>
      </c>
      <c r="H22" s="239">
        <v>44561</v>
      </c>
      <c r="I22" s="243">
        <v>50000</v>
      </c>
      <c r="J22" s="243">
        <v>16665</v>
      </c>
    </row>
    <row r="23" spans="1:10" ht="15.75">
      <c r="A23" s="242">
        <v>506457</v>
      </c>
      <c r="B23" s="242">
        <v>208406</v>
      </c>
      <c r="C23" s="242" t="s">
        <v>19</v>
      </c>
      <c r="D23" s="242" t="s">
        <v>459</v>
      </c>
      <c r="E23" s="240" t="s">
        <v>460</v>
      </c>
      <c r="F23" s="91" t="s">
        <v>68</v>
      </c>
      <c r="G23" s="239">
        <v>43556</v>
      </c>
      <c r="H23" s="239">
        <v>44377</v>
      </c>
      <c r="I23" s="241">
        <v>25000</v>
      </c>
      <c r="J23" s="84">
        <v>8332.5</v>
      </c>
    </row>
    <row r="24" spans="1:10" ht="15.75">
      <c r="A24" s="242">
        <v>506457</v>
      </c>
      <c r="B24" s="242">
        <v>212361</v>
      </c>
      <c r="C24" s="242" t="s">
        <v>19</v>
      </c>
      <c r="D24" s="242" t="s">
        <v>379</v>
      </c>
      <c r="E24" s="240" t="s">
        <v>461</v>
      </c>
      <c r="F24" s="91" t="s">
        <v>46</v>
      </c>
      <c r="G24" s="239">
        <v>43556</v>
      </c>
      <c r="H24" s="239">
        <v>44377</v>
      </c>
      <c r="I24" s="241">
        <v>75000</v>
      </c>
      <c r="J24" s="84">
        <v>24997.5</v>
      </c>
    </row>
    <row r="25" spans="1:10" ht="15.75">
      <c r="A25" s="242">
        <v>506458</v>
      </c>
      <c r="B25" s="83">
        <v>205547</v>
      </c>
      <c r="C25" s="83" t="s">
        <v>19</v>
      </c>
      <c r="D25" s="83" t="s">
        <v>462</v>
      </c>
      <c r="E25" s="240" t="s">
        <v>463</v>
      </c>
      <c r="F25" s="91" t="s">
        <v>46</v>
      </c>
      <c r="G25" s="239">
        <v>43556</v>
      </c>
      <c r="H25" s="239">
        <v>44377</v>
      </c>
      <c r="I25" s="241">
        <v>26980</v>
      </c>
      <c r="J25" s="84">
        <v>8992.4339999999993</v>
      </c>
    </row>
    <row r="26" spans="1:10" ht="15.75">
      <c r="A26" s="242">
        <v>506458</v>
      </c>
      <c r="B26" s="83">
        <v>212183</v>
      </c>
      <c r="C26" s="83" t="s">
        <v>19</v>
      </c>
      <c r="D26" s="83" t="s">
        <v>464</v>
      </c>
      <c r="E26" s="240" t="s">
        <v>465</v>
      </c>
      <c r="F26" s="91" t="s">
        <v>68</v>
      </c>
      <c r="G26" s="239">
        <v>43556</v>
      </c>
      <c r="H26" s="239">
        <v>44377</v>
      </c>
      <c r="I26" s="241">
        <v>71385</v>
      </c>
      <c r="J26" s="84">
        <v>23792.620499999997</v>
      </c>
    </row>
    <row r="27" spans="1:10" ht="15.75">
      <c r="A27" s="242">
        <v>506459</v>
      </c>
      <c r="B27" s="238">
        <v>205993</v>
      </c>
      <c r="C27" s="238" t="s">
        <v>19</v>
      </c>
      <c r="D27" s="238" t="s">
        <v>466</v>
      </c>
      <c r="E27" s="240" t="s">
        <v>467</v>
      </c>
      <c r="F27" s="91" t="s">
        <v>46</v>
      </c>
      <c r="G27" s="239">
        <v>43556</v>
      </c>
      <c r="H27" s="239">
        <v>44377</v>
      </c>
      <c r="I27" s="241">
        <v>36000</v>
      </c>
      <c r="J27" s="84">
        <v>11998.8</v>
      </c>
    </row>
    <row r="28" spans="1:10" ht="15.75">
      <c r="A28" s="242">
        <v>506459</v>
      </c>
      <c r="B28" s="238">
        <v>208379</v>
      </c>
      <c r="C28" s="238" t="s">
        <v>19</v>
      </c>
      <c r="D28" s="238" t="s">
        <v>350</v>
      </c>
      <c r="E28" s="238" t="s">
        <v>1479</v>
      </c>
      <c r="F28" s="88" t="s">
        <v>46</v>
      </c>
      <c r="G28" s="239">
        <v>43556</v>
      </c>
      <c r="H28" s="239">
        <v>44377</v>
      </c>
      <c r="I28" s="243">
        <v>21000</v>
      </c>
      <c r="J28" s="84">
        <v>6999.2999999999993</v>
      </c>
    </row>
    <row r="29" spans="1:10" ht="15.75">
      <c r="A29" s="242">
        <v>506459</v>
      </c>
      <c r="B29" s="238">
        <v>208617</v>
      </c>
      <c r="C29" s="238" t="s">
        <v>19</v>
      </c>
      <c r="D29" s="238" t="s">
        <v>469</v>
      </c>
      <c r="E29" s="238" t="s">
        <v>470</v>
      </c>
      <c r="F29" s="83" t="s">
        <v>68</v>
      </c>
      <c r="G29" s="239">
        <v>43556</v>
      </c>
      <c r="H29" s="239">
        <v>44377</v>
      </c>
      <c r="I29" s="241">
        <v>30000</v>
      </c>
      <c r="J29" s="84">
        <v>9999</v>
      </c>
    </row>
    <row r="30" spans="1:10" ht="15.75">
      <c r="A30" s="83">
        <v>507637</v>
      </c>
      <c r="B30" s="238">
        <v>206014</v>
      </c>
      <c r="C30" s="238" t="s">
        <v>353</v>
      </c>
      <c r="D30" s="238" t="s">
        <v>354</v>
      </c>
      <c r="E30" s="91" t="s">
        <v>355</v>
      </c>
      <c r="F30" s="91" t="s">
        <v>46</v>
      </c>
      <c r="G30" s="239">
        <v>43709</v>
      </c>
      <c r="H30" s="239">
        <v>44530</v>
      </c>
      <c r="I30" s="84">
        <v>40800</v>
      </c>
      <c r="J30" s="84">
        <v>13598.64</v>
      </c>
    </row>
    <row r="31" spans="1:10" ht="15.75">
      <c r="A31" s="83">
        <v>507637</v>
      </c>
      <c r="B31" s="238">
        <v>207636</v>
      </c>
      <c r="C31" s="238" t="s">
        <v>353</v>
      </c>
      <c r="D31" s="238" t="s">
        <v>358</v>
      </c>
      <c r="E31" s="91" t="s">
        <v>359</v>
      </c>
      <c r="F31" s="91" t="s">
        <v>46</v>
      </c>
      <c r="G31" s="239">
        <v>43709</v>
      </c>
      <c r="H31" s="239">
        <v>44530</v>
      </c>
      <c r="I31" s="243">
        <v>85000</v>
      </c>
      <c r="J31" s="243">
        <v>28330.5</v>
      </c>
    </row>
    <row r="32" spans="1:10" ht="15.75">
      <c r="A32" s="83">
        <v>507637</v>
      </c>
      <c r="B32" s="238">
        <v>208625</v>
      </c>
      <c r="C32" s="238" t="s">
        <v>353</v>
      </c>
      <c r="D32" s="238" t="s">
        <v>366</v>
      </c>
      <c r="E32" s="91" t="s">
        <v>367</v>
      </c>
      <c r="F32" s="91" t="s">
        <v>53</v>
      </c>
      <c r="G32" s="239">
        <v>43709</v>
      </c>
      <c r="H32" s="239">
        <v>44530</v>
      </c>
      <c r="I32" s="243">
        <v>63750</v>
      </c>
      <c r="J32" s="243">
        <v>21247.875</v>
      </c>
    </row>
    <row r="33" spans="1:10" ht="15.75">
      <c r="A33" s="83">
        <v>507637</v>
      </c>
      <c r="B33" s="238">
        <v>208728</v>
      </c>
      <c r="C33" s="238" t="s">
        <v>353</v>
      </c>
      <c r="D33" s="238" t="s">
        <v>342</v>
      </c>
      <c r="E33" s="91" t="s">
        <v>362</v>
      </c>
      <c r="F33" s="91" t="s">
        <v>53</v>
      </c>
      <c r="G33" s="239">
        <v>43709</v>
      </c>
      <c r="H33" s="239">
        <v>44530</v>
      </c>
      <c r="I33" s="243">
        <v>378100</v>
      </c>
      <c r="J33" s="243">
        <v>126020.73</v>
      </c>
    </row>
    <row r="34" spans="1:10" ht="15.75">
      <c r="A34" s="83">
        <v>507637</v>
      </c>
      <c r="B34" s="238">
        <v>209491</v>
      </c>
      <c r="C34" s="238" t="s">
        <v>353</v>
      </c>
      <c r="D34" s="238" t="s">
        <v>363</v>
      </c>
      <c r="E34" s="91" t="s">
        <v>238</v>
      </c>
      <c r="F34" s="86" t="s">
        <v>75</v>
      </c>
      <c r="G34" s="239">
        <v>43709</v>
      </c>
      <c r="H34" s="239">
        <v>44530</v>
      </c>
      <c r="I34" s="243">
        <v>153000</v>
      </c>
      <c r="J34" s="243">
        <v>50994.899999999994</v>
      </c>
    </row>
    <row r="35" spans="1:10" ht="15.75">
      <c r="A35" s="83">
        <v>507637</v>
      </c>
      <c r="B35" s="238">
        <v>209660</v>
      </c>
      <c r="C35" s="238" t="s">
        <v>353</v>
      </c>
      <c r="D35" s="238" t="s">
        <v>360</v>
      </c>
      <c r="E35" s="91" t="s">
        <v>361</v>
      </c>
      <c r="F35" s="91" t="s">
        <v>68</v>
      </c>
      <c r="G35" s="239">
        <v>43709</v>
      </c>
      <c r="H35" s="239">
        <v>44530</v>
      </c>
      <c r="I35" s="243">
        <v>74800</v>
      </c>
      <c r="J35" s="243">
        <v>24930.84</v>
      </c>
    </row>
    <row r="36" spans="1:10" ht="15.75">
      <c r="A36" s="83">
        <v>507637</v>
      </c>
      <c r="B36" s="238">
        <v>211152</v>
      </c>
      <c r="C36" s="238" t="s">
        <v>353</v>
      </c>
      <c r="D36" s="238" t="s">
        <v>364</v>
      </c>
      <c r="E36" s="91" t="s">
        <v>365</v>
      </c>
      <c r="F36" s="91" t="s">
        <v>46</v>
      </c>
      <c r="G36" s="239">
        <v>43709</v>
      </c>
      <c r="H36" s="239">
        <v>44530</v>
      </c>
      <c r="I36" s="243">
        <v>40800</v>
      </c>
      <c r="J36" s="84">
        <v>13598.64</v>
      </c>
    </row>
    <row r="37" spans="1:10" ht="15.75">
      <c r="A37" s="83">
        <v>507637</v>
      </c>
      <c r="B37" s="238">
        <v>212636</v>
      </c>
      <c r="C37" s="238" t="s">
        <v>353</v>
      </c>
      <c r="D37" s="238" t="s">
        <v>356</v>
      </c>
      <c r="E37" s="91" t="s">
        <v>357</v>
      </c>
      <c r="F37" s="91" t="s">
        <v>53</v>
      </c>
      <c r="G37" s="239">
        <v>43709</v>
      </c>
      <c r="H37" s="239">
        <v>44530</v>
      </c>
      <c r="I37" s="243">
        <v>63750</v>
      </c>
      <c r="J37" s="243">
        <v>21247.875</v>
      </c>
    </row>
    <row r="38" spans="1:10" ht="15.75">
      <c r="A38" s="83">
        <v>507638</v>
      </c>
      <c r="B38" s="238">
        <v>203770</v>
      </c>
      <c r="C38" s="238" t="s">
        <v>353</v>
      </c>
      <c r="D38" s="238" t="s">
        <v>374</v>
      </c>
      <c r="E38" s="91" t="s">
        <v>259</v>
      </c>
      <c r="F38" s="83" t="s">
        <v>260</v>
      </c>
      <c r="G38" s="239">
        <v>43709</v>
      </c>
      <c r="H38" s="239">
        <v>44530</v>
      </c>
      <c r="I38" s="243">
        <v>40000</v>
      </c>
      <c r="J38" s="243">
        <v>13332</v>
      </c>
    </row>
    <row r="39" spans="1:10" ht="15.75">
      <c r="A39" s="83">
        <v>507638</v>
      </c>
      <c r="B39" s="238">
        <v>203820</v>
      </c>
      <c r="C39" s="238" t="s">
        <v>353</v>
      </c>
      <c r="D39" s="238" t="s">
        <v>369</v>
      </c>
      <c r="E39" s="91" t="s">
        <v>257</v>
      </c>
      <c r="F39" s="91" t="s">
        <v>46</v>
      </c>
      <c r="G39" s="239">
        <v>43709</v>
      </c>
      <c r="H39" s="239">
        <v>44530</v>
      </c>
      <c r="I39" s="243">
        <v>30000</v>
      </c>
      <c r="J39" s="243">
        <v>9999</v>
      </c>
    </row>
    <row r="40" spans="1:10" ht="15.75">
      <c r="A40" s="83">
        <v>507638</v>
      </c>
      <c r="B40" s="238">
        <v>206595</v>
      </c>
      <c r="C40" s="238" t="s">
        <v>353</v>
      </c>
      <c r="D40" s="238" t="s">
        <v>368</v>
      </c>
      <c r="E40" s="91" t="s">
        <v>253</v>
      </c>
      <c r="F40" s="91" t="s">
        <v>46</v>
      </c>
      <c r="G40" s="239">
        <v>43709</v>
      </c>
      <c r="H40" s="239">
        <v>44530</v>
      </c>
      <c r="I40" s="243">
        <v>133750</v>
      </c>
      <c r="J40" s="243">
        <v>44578.875</v>
      </c>
    </row>
    <row r="41" spans="1:10" ht="15.75">
      <c r="A41" s="83">
        <v>507638</v>
      </c>
      <c r="B41" s="238">
        <v>207233</v>
      </c>
      <c r="C41" s="238" t="s">
        <v>353</v>
      </c>
      <c r="D41" s="238" t="s">
        <v>373</v>
      </c>
      <c r="E41" s="91" t="s">
        <v>248</v>
      </c>
      <c r="F41" s="91" t="s">
        <v>46</v>
      </c>
      <c r="G41" s="239">
        <v>43709</v>
      </c>
      <c r="H41" s="239">
        <v>44530</v>
      </c>
      <c r="I41" s="243">
        <v>133250</v>
      </c>
      <c r="J41" s="243">
        <v>44412.224999999999</v>
      </c>
    </row>
    <row r="42" spans="1:10" ht="15.75">
      <c r="A42" s="83">
        <v>507638</v>
      </c>
      <c r="B42" s="238">
        <v>207444</v>
      </c>
      <c r="C42" s="238" t="s">
        <v>353</v>
      </c>
      <c r="D42" s="238" t="s">
        <v>348</v>
      </c>
      <c r="E42" s="91" t="s">
        <v>249</v>
      </c>
      <c r="F42" s="91" t="s">
        <v>46</v>
      </c>
      <c r="G42" s="239">
        <v>43709</v>
      </c>
      <c r="H42" s="239">
        <v>44530</v>
      </c>
      <c r="I42" s="243">
        <v>100000</v>
      </c>
      <c r="J42" s="243">
        <v>33330</v>
      </c>
    </row>
    <row r="43" spans="1:10" ht="15.75">
      <c r="A43" s="83">
        <v>507638</v>
      </c>
      <c r="B43" s="238">
        <v>209210</v>
      </c>
      <c r="C43" s="238" t="s">
        <v>353</v>
      </c>
      <c r="D43" s="238" t="s">
        <v>375</v>
      </c>
      <c r="E43" s="91" t="s">
        <v>252</v>
      </c>
      <c r="F43" s="91" t="s">
        <v>68</v>
      </c>
      <c r="G43" s="239">
        <v>43709</v>
      </c>
      <c r="H43" s="239">
        <v>44530</v>
      </c>
      <c r="I43" s="243">
        <v>62000</v>
      </c>
      <c r="J43" s="243">
        <v>20664.599999999999</v>
      </c>
    </row>
    <row r="44" spans="1:10" ht="15.75">
      <c r="A44" s="83">
        <v>507638</v>
      </c>
      <c r="B44" s="238">
        <v>211256</v>
      </c>
      <c r="C44" s="238" t="s">
        <v>353</v>
      </c>
      <c r="D44" s="238" t="s">
        <v>370</v>
      </c>
      <c r="E44" s="91" t="s">
        <v>251</v>
      </c>
      <c r="F44" s="91" t="s">
        <v>68</v>
      </c>
      <c r="G44" s="239">
        <v>43709</v>
      </c>
      <c r="H44" s="239">
        <v>44530</v>
      </c>
      <c r="I44" s="243">
        <v>132500</v>
      </c>
      <c r="J44" s="243">
        <v>44162.25</v>
      </c>
    </row>
    <row r="45" spans="1:10" ht="15.75">
      <c r="A45" s="83">
        <v>507638</v>
      </c>
      <c r="B45" s="238">
        <v>211963</v>
      </c>
      <c r="C45" s="238" t="s">
        <v>353</v>
      </c>
      <c r="D45" s="238" t="s">
        <v>372</v>
      </c>
      <c r="E45" s="91" t="s">
        <v>247</v>
      </c>
      <c r="F45" s="91" t="s">
        <v>46</v>
      </c>
      <c r="G45" s="239">
        <v>43709</v>
      </c>
      <c r="H45" s="239">
        <v>44530</v>
      </c>
      <c r="I45" s="243">
        <v>133500</v>
      </c>
      <c r="J45" s="243">
        <v>44495.549999999996</v>
      </c>
    </row>
    <row r="46" spans="1:10" ht="15.75">
      <c r="A46" s="83">
        <v>507638</v>
      </c>
      <c r="B46" s="238">
        <v>212504</v>
      </c>
      <c r="C46" s="238" t="s">
        <v>353</v>
      </c>
      <c r="D46" s="238" t="s">
        <v>371</v>
      </c>
      <c r="E46" s="91" t="s">
        <v>256</v>
      </c>
      <c r="F46" s="91" t="s">
        <v>68</v>
      </c>
      <c r="G46" s="239">
        <v>43709</v>
      </c>
      <c r="H46" s="239">
        <v>44530</v>
      </c>
      <c r="I46" s="243">
        <v>133500</v>
      </c>
      <c r="J46" s="243">
        <v>44495.549999999996</v>
      </c>
    </row>
    <row r="47" spans="1:10" ht="15.75">
      <c r="A47" s="83">
        <v>507639</v>
      </c>
      <c r="B47" s="238">
        <v>206147</v>
      </c>
      <c r="C47" s="238" t="s">
        <v>353</v>
      </c>
      <c r="D47" s="238" t="s">
        <v>381</v>
      </c>
      <c r="E47" s="91" t="s">
        <v>261</v>
      </c>
      <c r="F47" s="91" t="s">
        <v>46</v>
      </c>
      <c r="G47" s="239">
        <v>43709</v>
      </c>
      <c r="H47" s="239">
        <v>44530</v>
      </c>
      <c r="I47" s="243">
        <v>240000</v>
      </c>
      <c r="J47" s="243">
        <v>79992</v>
      </c>
    </row>
    <row r="48" spans="1:10" ht="15.75">
      <c r="A48" s="83">
        <v>507639</v>
      </c>
      <c r="B48" s="238">
        <v>206205</v>
      </c>
      <c r="C48" s="238" t="s">
        <v>353</v>
      </c>
      <c r="D48" s="238" t="s">
        <v>378</v>
      </c>
      <c r="E48" s="91" t="s">
        <v>266</v>
      </c>
      <c r="F48" s="91" t="s">
        <v>46</v>
      </c>
      <c r="G48" s="239">
        <v>43709</v>
      </c>
      <c r="H48" s="239">
        <v>44530</v>
      </c>
      <c r="I48" s="243">
        <v>240000</v>
      </c>
      <c r="J48" s="243">
        <v>79992</v>
      </c>
    </row>
    <row r="49" spans="1:10" ht="15.75">
      <c r="A49" s="83">
        <v>507639</v>
      </c>
      <c r="B49" s="238">
        <v>206595</v>
      </c>
      <c r="C49" s="238" t="s">
        <v>353</v>
      </c>
      <c r="D49" s="238" t="s">
        <v>368</v>
      </c>
      <c r="E49" s="91" t="s">
        <v>376</v>
      </c>
      <c r="F49" s="91" t="s">
        <v>46</v>
      </c>
      <c r="G49" s="239">
        <v>43709</v>
      </c>
      <c r="H49" s="239">
        <v>44530</v>
      </c>
      <c r="I49" s="243">
        <v>40000</v>
      </c>
      <c r="J49" s="243">
        <v>13332</v>
      </c>
    </row>
    <row r="50" spans="1:10" ht="15.75">
      <c r="A50" s="83">
        <v>507639</v>
      </c>
      <c r="B50" s="238">
        <v>208379</v>
      </c>
      <c r="C50" s="238" t="s">
        <v>353</v>
      </c>
      <c r="D50" s="238" t="s">
        <v>350</v>
      </c>
      <c r="E50" s="91" t="s">
        <v>267</v>
      </c>
      <c r="F50" s="91" t="s">
        <v>46</v>
      </c>
      <c r="G50" s="239">
        <v>43709</v>
      </c>
      <c r="H50" s="239">
        <v>44530</v>
      </c>
      <c r="I50" s="243">
        <v>80000</v>
      </c>
      <c r="J50" s="243">
        <v>26664</v>
      </c>
    </row>
    <row r="51" spans="1:10" ht="15.75">
      <c r="A51" s="83">
        <v>507639</v>
      </c>
      <c r="B51" s="238">
        <v>210174</v>
      </c>
      <c r="C51" s="238" t="s">
        <v>353</v>
      </c>
      <c r="D51" s="238" t="s">
        <v>377</v>
      </c>
      <c r="E51" s="91" t="s">
        <v>263</v>
      </c>
      <c r="F51" s="91" t="s">
        <v>46</v>
      </c>
      <c r="G51" s="239">
        <v>43709</v>
      </c>
      <c r="H51" s="239">
        <v>44530</v>
      </c>
      <c r="I51" s="243">
        <v>8750</v>
      </c>
      <c r="J51" s="243">
        <v>2916.375</v>
      </c>
    </row>
    <row r="52" spans="1:10" ht="15.75">
      <c r="A52" s="83">
        <v>507639</v>
      </c>
      <c r="B52" s="238">
        <v>210174</v>
      </c>
      <c r="C52" s="238" t="s">
        <v>353</v>
      </c>
      <c r="D52" s="238" t="s">
        <v>377</v>
      </c>
      <c r="E52" s="91" t="s">
        <v>263</v>
      </c>
      <c r="F52" s="91" t="s">
        <v>46</v>
      </c>
      <c r="G52" s="239">
        <v>43709</v>
      </c>
      <c r="H52" s="239">
        <v>44530</v>
      </c>
      <c r="I52" s="243">
        <v>80000</v>
      </c>
      <c r="J52" s="243">
        <v>26664</v>
      </c>
    </row>
    <row r="53" spans="1:10" ht="15.75">
      <c r="A53" s="83">
        <v>507639</v>
      </c>
      <c r="B53" s="238">
        <v>212065</v>
      </c>
      <c r="C53" s="238" t="s">
        <v>353</v>
      </c>
      <c r="D53" s="238" t="s">
        <v>380</v>
      </c>
      <c r="E53" s="91" t="s">
        <v>264</v>
      </c>
      <c r="F53" s="91" t="s">
        <v>46</v>
      </c>
      <c r="G53" s="239">
        <v>43709</v>
      </c>
      <c r="H53" s="239">
        <v>44530</v>
      </c>
      <c r="I53" s="243">
        <v>10000</v>
      </c>
      <c r="J53" s="243">
        <v>3333</v>
      </c>
    </row>
    <row r="54" spans="1:10" ht="15.75">
      <c r="A54" s="83">
        <v>507639</v>
      </c>
      <c r="B54" s="238">
        <v>212065</v>
      </c>
      <c r="C54" s="238" t="s">
        <v>353</v>
      </c>
      <c r="D54" s="238" t="s">
        <v>380</v>
      </c>
      <c r="E54" s="91" t="s">
        <v>264</v>
      </c>
      <c r="F54" s="91" t="s">
        <v>46</v>
      </c>
      <c r="G54" s="239">
        <v>43709</v>
      </c>
      <c r="H54" s="239">
        <v>44530</v>
      </c>
      <c r="I54" s="243">
        <v>275000</v>
      </c>
      <c r="J54" s="243">
        <v>91657.5</v>
      </c>
    </row>
    <row r="55" spans="1:10" ht="15.75">
      <c r="A55" s="83">
        <v>507639</v>
      </c>
      <c r="B55" s="238">
        <v>212361</v>
      </c>
      <c r="C55" s="238" t="s">
        <v>353</v>
      </c>
      <c r="D55" s="238" t="s">
        <v>379</v>
      </c>
      <c r="E55" s="91" t="s">
        <v>269</v>
      </c>
      <c r="F55" s="91" t="s">
        <v>46</v>
      </c>
      <c r="G55" s="239">
        <v>43709</v>
      </c>
      <c r="H55" s="239">
        <v>44530</v>
      </c>
      <c r="I55" s="243">
        <v>240000</v>
      </c>
      <c r="J55" s="243">
        <v>79992</v>
      </c>
    </row>
    <row r="56" spans="1:10" ht="15.75">
      <c r="A56" s="83">
        <v>507641</v>
      </c>
      <c r="B56" s="238">
        <v>203173</v>
      </c>
      <c r="C56" s="238" t="s">
        <v>353</v>
      </c>
      <c r="D56" s="238" t="s">
        <v>385</v>
      </c>
      <c r="E56" s="91" t="s">
        <v>386</v>
      </c>
      <c r="F56" s="91" t="s">
        <v>75</v>
      </c>
      <c r="G56" s="239">
        <v>43709</v>
      </c>
      <c r="H56" s="239">
        <v>44530</v>
      </c>
      <c r="I56" s="243">
        <v>61765</v>
      </c>
      <c r="J56" s="243">
        <v>20586.2745</v>
      </c>
    </row>
    <row r="57" spans="1:10" ht="15.75">
      <c r="A57" s="83">
        <v>507641</v>
      </c>
      <c r="B57" s="238">
        <v>203820</v>
      </c>
      <c r="C57" s="238" t="s">
        <v>353</v>
      </c>
      <c r="D57" s="238" t="s">
        <v>369</v>
      </c>
      <c r="E57" s="91" t="s">
        <v>384</v>
      </c>
      <c r="F57" s="91" t="s">
        <v>46</v>
      </c>
      <c r="G57" s="239">
        <v>43709</v>
      </c>
      <c r="H57" s="239">
        <v>44530</v>
      </c>
      <c r="I57" s="243">
        <v>106595</v>
      </c>
      <c r="J57" s="243">
        <v>35528.113499999999</v>
      </c>
    </row>
    <row r="58" spans="1:10" ht="15.75">
      <c r="A58" s="83">
        <v>507641</v>
      </c>
      <c r="B58" s="238">
        <v>205592</v>
      </c>
      <c r="C58" s="238" t="s">
        <v>353</v>
      </c>
      <c r="D58" s="238" t="s">
        <v>389</v>
      </c>
      <c r="E58" s="91" t="s">
        <v>390</v>
      </c>
      <c r="F58" s="91" t="s">
        <v>46</v>
      </c>
      <c r="G58" s="239">
        <v>43709</v>
      </c>
      <c r="H58" s="239">
        <v>44530</v>
      </c>
      <c r="I58" s="243">
        <v>32000</v>
      </c>
      <c r="J58" s="243">
        <v>10665.6</v>
      </c>
    </row>
    <row r="59" spans="1:10" ht="15.75">
      <c r="A59" s="83">
        <v>507641</v>
      </c>
      <c r="B59" s="238">
        <v>208897</v>
      </c>
      <c r="C59" s="238" t="s">
        <v>353</v>
      </c>
      <c r="D59" s="238" t="s">
        <v>387</v>
      </c>
      <c r="E59" s="91" t="s">
        <v>388</v>
      </c>
      <c r="F59" s="91" t="s">
        <v>46</v>
      </c>
      <c r="G59" s="239">
        <v>43709</v>
      </c>
      <c r="H59" s="239">
        <v>44530</v>
      </c>
      <c r="I59" s="243">
        <v>73925</v>
      </c>
      <c r="J59" s="243">
        <v>24639.202499999999</v>
      </c>
    </row>
    <row r="60" spans="1:10" ht="15.75">
      <c r="A60" s="83">
        <v>507641</v>
      </c>
      <c r="B60" s="238">
        <v>208934</v>
      </c>
      <c r="C60" s="238" t="s">
        <v>353</v>
      </c>
      <c r="D60" s="238" t="s">
        <v>382</v>
      </c>
      <c r="E60" s="91" t="s">
        <v>383</v>
      </c>
      <c r="F60" s="91" t="s">
        <v>75</v>
      </c>
      <c r="G60" s="239">
        <v>43709</v>
      </c>
      <c r="H60" s="239">
        <v>44530</v>
      </c>
      <c r="I60" s="243">
        <v>58717</v>
      </c>
      <c r="J60" s="243">
        <v>19570.376099999998</v>
      </c>
    </row>
    <row r="61" spans="1:10" ht="15.75">
      <c r="A61" s="83">
        <v>507642</v>
      </c>
      <c r="B61" s="238">
        <v>200150</v>
      </c>
      <c r="C61" s="238" t="s">
        <v>353</v>
      </c>
      <c r="D61" s="238" t="s">
        <v>393</v>
      </c>
      <c r="E61" s="91" t="s">
        <v>278</v>
      </c>
      <c r="F61" s="91" t="s">
        <v>53</v>
      </c>
      <c r="G61" s="239">
        <v>43709</v>
      </c>
      <c r="H61" s="239">
        <v>44530</v>
      </c>
      <c r="I61" s="243">
        <v>85000</v>
      </c>
      <c r="J61" s="243">
        <v>28330.5</v>
      </c>
    </row>
    <row r="62" spans="1:10" ht="15.75">
      <c r="A62" s="83">
        <v>507642</v>
      </c>
      <c r="B62" s="238">
        <v>208607</v>
      </c>
      <c r="C62" s="238" t="s">
        <v>353</v>
      </c>
      <c r="D62" s="238" t="s">
        <v>391</v>
      </c>
      <c r="E62" s="91" t="s">
        <v>282</v>
      </c>
      <c r="F62" s="91" t="s">
        <v>53</v>
      </c>
      <c r="G62" s="239">
        <v>43709</v>
      </c>
      <c r="H62" s="239">
        <v>44530</v>
      </c>
      <c r="I62" s="243">
        <v>90000</v>
      </c>
      <c r="J62" s="243">
        <v>29997</v>
      </c>
    </row>
    <row r="63" spans="1:10" ht="15.75">
      <c r="A63" s="83">
        <v>507642</v>
      </c>
      <c r="B63" s="238">
        <v>212714</v>
      </c>
      <c r="C63" s="238" t="s">
        <v>353</v>
      </c>
      <c r="D63" s="238" t="s">
        <v>392</v>
      </c>
      <c r="E63" s="91" t="s">
        <v>280</v>
      </c>
      <c r="F63" s="91" t="s">
        <v>53</v>
      </c>
      <c r="G63" s="239">
        <v>43709</v>
      </c>
      <c r="H63" s="239">
        <v>44530</v>
      </c>
      <c r="I63" s="243">
        <v>85000</v>
      </c>
      <c r="J63" s="243">
        <v>28330.5</v>
      </c>
    </row>
    <row r="64" spans="1:10" ht="15.75">
      <c r="A64" s="83">
        <v>507643</v>
      </c>
      <c r="B64" s="238">
        <v>201921</v>
      </c>
      <c r="C64" s="238" t="s">
        <v>353</v>
      </c>
      <c r="D64" s="238" t="s">
        <v>397</v>
      </c>
      <c r="E64" s="91" t="s">
        <v>284</v>
      </c>
      <c r="F64" s="91" t="s">
        <v>46</v>
      </c>
      <c r="G64" s="239">
        <v>43709</v>
      </c>
      <c r="H64" s="239">
        <v>44530</v>
      </c>
      <c r="I64" s="243">
        <v>80000</v>
      </c>
      <c r="J64" s="243">
        <v>26664</v>
      </c>
    </row>
    <row r="65" spans="1:10" ht="15.75">
      <c r="A65" s="83">
        <v>507643</v>
      </c>
      <c r="B65" s="238">
        <v>208489</v>
      </c>
      <c r="C65" s="238" t="s">
        <v>353</v>
      </c>
      <c r="D65" s="238" t="s">
        <v>395</v>
      </c>
      <c r="E65" s="91" t="s">
        <v>396</v>
      </c>
      <c r="F65" s="91" t="s">
        <v>68</v>
      </c>
      <c r="G65" s="239">
        <v>43709</v>
      </c>
      <c r="H65" s="239">
        <v>44530</v>
      </c>
      <c r="I65" s="243">
        <v>75000</v>
      </c>
      <c r="J65" s="243">
        <v>24997.5</v>
      </c>
    </row>
    <row r="66" spans="1:10" ht="15.75">
      <c r="A66" s="83">
        <v>507643</v>
      </c>
      <c r="B66" s="238">
        <v>208810</v>
      </c>
      <c r="C66" s="238" t="s">
        <v>353</v>
      </c>
      <c r="D66" s="238" t="s">
        <v>398</v>
      </c>
      <c r="E66" s="91" t="s">
        <v>399</v>
      </c>
      <c r="F66" s="91" t="s">
        <v>53</v>
      </c>
      <c r="G66" s="239">
        <v>43709</v>
      </c>
      <c r="H66" s="239">
        <v>44530</v>
      </c>
      <c r="I66" s="243">
        <v>100000</v>
      </c>
      <c r="J66" s="243">
        <v>33330</v>
      </c>
    </row>
    <row r="67" spans="1:10" ht="15.75">
      <c r="A67" s="83">
        <v>507643</v>
      </c>
      <c r="B67" s="238">
        <v>211134</v>
      </c>
      <c r="C67" s="238" t="s">
        <v>353</v>
      </c>
      <c r="D67" s="238" t="s">
        <v>394</v>
      </c>
      <c r="E67" s="91" t="s">
        <v>287</v>
      </c>
      <c r="F67" s="91" t="s">
        <v>46</v>
      </c>
      <c r="G67" s="239">
        <v>43709</v>
      </c>
      <c r="H67" s="239">
        <v>44530</v>
      </c>
      <c r="I67" s="243">
        <v>80000</v>
      </c>
      <c r="J67" s="243">
        <v>26664</v>
      </c>
    </row>
    <row r="68" spans="1:10" ht="15.75">
      <c r="A68" s="83">
        <v>507693</v>
      </c>
      <c r="B68" s="238">
        <v>201921</v>
      </c>
      <c r="C68" s="238" t="s">
        <v>353</v>
      </c>
      <c r="D68" s="238" t="s">
        <v>397</v>
      </c>
      <c r="E68" s="91" t="s">
        <v>408</v>
      </c>
      <c r="F68" s="91" t="s">
        <v>46</v>
      </c>
      <c r="G68" s="239">
        <v>43709</v>
      </c>
      <c r="H68" s="239">
        <v>44530</v>
      </c>
      <c r="I68" s="243">
        <v>66900</v>
      </c>
      <c r="J68" s="243">
        <v>22297.77</v>
      </c>
    </row>
    <row r="69" spans="1:10" ht="15.75">
      <c r="A69" s="83">
        <v>507693</v>
      </c>
      <c r="B69" s="238">
        <v>206130</v>
      </c>
      <c r="C69" s="238" t="s">
        <v>353</v>
      </c>
      <c r="D69" s="238" t="s">
        <v>400</v>
      </c>
      <c r="E69" s="91" t="s">
        <v>401</v>
      </c>
      <c r="F69" s="91" t="s">
        <v>46</v>
      </c>
      <c r="G69" s="239">
        <v>43709</v>
      </c>
      <c r="H69" s="239">
        <v>44530</v>
      </c>
      <c r="I69" s="243">
        <v>100350</v>
      </c>
      <c r="J69" s="243">
        <v>33446.654999999999</v>
      </c>
    </row>
    <row r="70" spans="1:10" ht="15.75">
      <c r="A70" s="83">
        <v>507693</v>
      </c>
      <c r="B70" s="238">
        <v>209184</v>
      </c>
      <c r="C70" s="238" t="s">
        <v>353</v>
      </c>
      <c r="D70" s="238" t="s">
        <v>411</v>
      </c>
      <c r="E70" s="91" t="s">
        <v>412</v>
      </c>
      <c r="F70" s="91" t="s">
        <v>53</v>
      </c>
      <c r="G70" s="239">
        <v>43709</v>
      </c>
      <c r="H70" s="239">
        <v>44530</v>
      </c>
      <c r="I70" s="243">
        <v>108000</v>
      </c>
      <c r="J70" s="243">
        <v>35996.400000000001</v>
      </c>
    </row>
    <row r="71" spans="1:10" ht="15.75">
      <c r="A71" s="83">
        <v>507693</v>
      </c>
      <c r="B71" s="238">
        <v>209766</v>
      </c>
      <c r="C71" s="238" t="s">
        <v>353</v>
      </c>
      <c r="D71" s="238" t="s">
        <v>409</v>
      </c>
      <c r="E71" s="91" t="s">
        <v>410</v>
      </c>
      <c r="F71" s="91" t="s">
        <v>53</v>
      </c>
      <c r="G71" s="239">
        <v>43709</v>
      </c>
      <c r="H71" s="239">
        <v>44530</v>
      </c>
      <c r="I71" s="243">
        <v>108123</v>
      </c>
      <c r="J71" s="243">
        <v>36037.395899999996</v>
      </c>
    </row>
    <row r="72" spans="1:10" ht="15.75">
      <c r="A72" s="83">
        <v>507693</v>
      </c>
      <c r="B72" s="238">
        <v>211063</v>
      </c>
      <c r="C72" s="238" t="s">
        <v>353</v>
      </c>
      <c r="D72" s="238" t="s">
        <v>402</v>
      </c>
      <c r="E72" s="91" t="s">
        <v>403</v>
      </c>
      <c r="F72" s="91" t="s">
        <v>68</v>
      </c>
      <c r="G72" s="239">
        <v>43709</v>
      </c>
      <c r="H72" s="239">
        <v>44530</v>
      </c>
      <c r="I72" s="243">
        <v>33450</v>
      </c>
      <c r="J72" s="243">
        <v>11148.885</v>
      </c>
    </row>
    <row r="73" spans="1:10" ht="15.75">
      <c r="A73" s="83">
        <v>507693</v>
      </c>
      <c r="B73" s="238">
        <v>211963</v>
      </c>
      <c r="C73" s="238" t="s">
        <v>353</v>
      </c>
      <c r="D73" s="238" t="s">
        <v>372</v>
      </c>
      <c r="E73" s="91" t="s">
        <v>404</v>
      </c>
      <c r="F73" s="91" t="s">
        <v>46</v>
      </c>
      <c r="G73" s="239">
        <v>43709</v>
      </c>
      <c r="H73" s="239">
        <v>44530</v>
      </c>
      <c r="I73" s="243">
        <v>33450</v>
      </c>
      <c r="J73" s="243">
        <v>11148.885</v>
      </c>
    </row>
    <row r="74" spans="1:10" ht="15.75">
      <c r="A74" s="83">
        <v>507693</v>
      </c>
      <c r="B74" s="238">
        <v>212636</v>
      </c>
      <c r="C74" s="238" t="s">
        <v>353</v>
      </c>
      <c r="D74" s="238" t="s">
        <v>356</v>
      </c>
      <c r="E74" s="91" t="s">
        <v>405</v>
      </c>
      <c r="F74" s="91" t="s">
        <v>53</v>
      </c>
      <c r="G74" s="239">
        <v>43709</v>
      </c>
      <c r="H74" s="239">
        <v>44530</v>
      </c>
      <c r="I74" s="243">
        <v>108370</v>
      </c>
      <c r="J74" s="243">
        <v>36119.720999999998</v>
      </c>
    </row>
    <row r="75" spans="1:10" ht="15.75">
      <c r="A75" s="83">
        <v>507693</v>
      </c>
      <c r="B75" s="238">
        <v>212893</v>
      </c>
      <c r="C75" s="238" t="s">
        <v>353</v>
      </c>
      <c r="D75" s="238" t="s">
        <v>406</v>
      </c>
      <c r="E75" s="91" t="s">
        <v>407</v>
      </c>
      <c r="F75" s="91" t="s">
        <v>53</v>
      </c>
      <c r="G75" s="239">
        <v>43709</v>
      </c>
      <c r="H75" s="239">
        <v>44530</v>
      </c>
      <c r="I75" s="243">
        <v>108000</v>
      </c>
      <c r="J75" s="243">
        <v>35996.400000000001</v>
      </c>
    </row>
    <row r="76" spans="1:10" ht="15.75">
      <c r="A76" s="83">
        <v>507776</v>
      </c>
      <c r="B76" s="238">
        <v>208625</v>
      </c>
      <c r="C76" s="238" t="s">
        <v>353</v>
      </c>
      <c r="D76" s="238" t="s">
        <v>366</v>
      </c>
      <c r="E76" s="91" t="s">
        <v>307</v>
      </c>
      <c r="F76" s="91" t="s">
        <v>53</v>
      </c>
      <c r="G76" s="239">
        <v>43709</v>
      </c>
      <c r="H76" s="239">
        <v>44530</v>
      </c>
      <c r="I76" s="243">
        <v>83333</v>
      </c>
      <c r="J76" s="243">
        <v>27774.888899999998</v>
      </c>
    </row>
    <row r="77" spans="1:10" ht="15.75">
      <c r="A77" s="83">
        <v>507776</v>
      </c>
      <c r="B77" s="238">
        <v>208628</v>
      </c>
      <c r="C77" s="238" t="s">
        <v>353</v>
      </c>
      <c r="D77" s="238" t="s">
        <v>416</v>
      </c>
      <c r="E77" s="91" t="s">
        <v>417</v>
      </c>
      <c r="F77" s="91" t="s">
        <v>53</v>
      </c>
      <c r="G77" s="239">
        <v>43709</v>
      </c>
      <c r="H77" s="239">
        <v>44530</v>
      </c>
      <c r="I77" s="243">
        <v>83334</v>
      </c>
      <c r="J77" s="243">
        <v>27775.2222</v>
      </c>
    </row>
    <row r="78" spans="1:10" ht="15.75">
      <c r="A78" s="83">
        <v>507776</v>
      </c>
      <c r="B78" s="238">
        <v>208808</v>
      </c>
      <c r="C78" s="238" t="s">
        <v>353</v>
      </c>
      <c r="D78" s="238" t="s">
        <v>414</v>
      </c>
      <c r="E78" s="91" t="s">
        <v>309</v>
      </c>
      <c r="F78" s="91" t="s">
        <v>53</v>
      </c>
      <c r="G78" s="239">
        <v>43709</v>
      </c>
      <c r="H78" s="239">
        <v>44530</v>
      </c>
      <c r="I78" s="243">
        <v>70000</v>
      </c>
      <c r="J78" s="243">
        <v>23331</v>
      </c>
    </row>
    <row r="79" spans="1:10" ht="15.75">
      <c r="A79" s="83">
        <v>507776</v>
      </c>
      <c r="B79" s="238">
        <v>209476</v>
      </c>
      <c r="C79" s="238" t="s">
        <v>353</v>
      </c>
      <c r="D79" s="238" t="s">
        <v>415</v>
      </c>
      <c r="E79" s="91" t="s">
        <v>300</v>
      </c>
      <c r="F79" s="91" t="s">
        <v>46</v>
      </c>
      <c r="G79" s="239">
        <v>43709</v>
      </c>
      <c r="H79" s="239">
        <v>44530</v>
      </c>
      <c r="I79" s="243">
        <v>70000</v>
      </c>
      <c r="J79" s="243">
        <v>23331</v>
      </c>
    </row>
    <row r="80" spans="1:10" ht="15.75">
      <c r="A80" s="83">
        <v>507776</v>
      </c>
      <c r="B80" s="238">
        <v>209711</v>
      </c>
      <c r="C80" s="238" t="s">
        <v>353</v>
      </c>
      <c r="D80" s="238" t="s">
        <v>420</v>
      </c>
      <c r="E80" s="91" t="s">
        <v>305</v>
      </c>
      <c r="F80" s="91" t="s">
        <v>53</v>
      </c>
      <c r="G80" s="239">
        <v>43709</v>
      </c>
      <c r="H80" s="239">
        <v>44530</v>
      </c>
      <c r="I80" s="243">
        <v>83333</v>
      </c>
      <c r="J80" s="243">
        <v>27774.888899999998</v>
      </c>
    </row>
    <row r="81" spans="1:10" ht="15.75">
      <c r="A81" s="83">
        <v>507776</v>
      </c>
      <c r="B81" s="238">
        <v>211377</v>
      </c>
      <c r="C81" s="238" t="s">
        <v>353</v>
      </c>
      <c r="D81" s="238" t="s">
        <v>413</v>
      </c>
      <c r="E81" s="91" t="s">
        <v>306</v>
      </c>
      <c r="F81" s="91" t="s">
        <v>53</v>
      </c>
      <c r="G81" s="239">
        <v>43709</v>
      </c>
      <c r="H81" s="239">
        <v>44530</v>
      </c>
      <c r="I81" s="243">
        <v>60000</v>
      </c>
      <c r="J81" s="243">
        <v>19998</v>
      </c>
    </row>
    <row r="82" spans="1:10" ht="15.75">
      <c r="A82" s="83">
        <v>507776</v>
      </c>
      <c r="B82" s="238">
        <v>211963</v>
      </c>
      <c r="C82" s="238" t="s">
        <v>353</v>
      </c>
      <c r="D82" s="238" t="s">
        <v>372</v>
      </c>
      <c r="E82" s="91" t="s">
        <v>301</v>
      </c>
      <c r="F82" s="91" t="s">
        <v>46</v>
      </c>
      <c r="G82" s="239">
        <v>43709</v>
      </c>
      <c r="H82" s="239">
        <v>44530</v>
      </c>
      <c r="I82" s="243">
        <v>50000</v>
      </c>
      <c r="J82" s="243">
        <v>16665</v>
      </c>
    </row>
    <row r="83" spans="1:10" ht="15.75">
      <c r="A83" s="83">
        <v>507777</v>
      </c>
      <c r="B83" s="238">
        <v>203561</v>
      </c>
      <c r="C83" s="238" t="s">
        <v>353</v>
      </c>
      <c r="D83" s="238" t="s">
        <v>425</v>
      </c>
      <c r="E83" s="91" t="s">
        <v>318</v>
      </c>
      <c r="F83" s="91" t="s">
        <v>53</v>
      </c>
      <c r="G83" s="239">
        <v>43709</v>
      </c>
      <c r="H83" s="239">
        <v>44530</v>
      </c>
      <c r="I83" s="243">
        <v>89064</v>
      </c>
      <c r="J83" s="243">
        <v>29685.031199999998</v>
      </c>
    </row>
    <row r="84" spans="1:10" ht="15.75">
      <c r="A84" s="83">
        <v>507777</v>
      </c>
      <c r="B84" s="238">
        <v>203628</v>
      </c>
      <c r="C84" s="238" t="s">
        <v>353</v>
      </c>
      <c r="D84" s="238" t="s">
        <v>424</v>
      </c>
      <c r="E84" s="91" t="s">
        <v>316</v>
      </c>
      <c r="F84" s="91" t="s">
        <v>53</v>
      </c>
      <c r="G84" s="239">
        <v>43709</v>
      </c>
      <c r="H84" s="239">
        <v>44530</v>
      </c>
      <c r="I84" s="243">
        <v>201530</v>
      </c>
      <c r="J84" s="243">
        <v>67169.948999999993</v>
      </c>
    </row>
    <row r="85" spans="1:10" ht="15.75">
      <c r="A85" s="83">
        <v>507777</v>
      </c>
      <c r="B85" s="238">
        <v>206121</v>
      </c>
      <c r="C85" s="238" t="s">
        <v>353</v>
      </c>
      <c r="D85" s="238" t="s">
        <v>422</v>
      </c>
      <c r="E85" s="91" t="s">
        <v>311</v>
      </c>
      <c r="F85" s="91" t="s">
        <v>46</v>
      </c>
      <c r="G85" s="239">
        <v>43709</v>
      </c>
      <c r="H85" s="239">
        <v>44530</v>
      </c>
      <c r="I85" s="243">
        <v>103320</v>
      </c>
      <c r="J85" s="243">
        <v>34436.555999999997</v>
      </c>
    </row>
    <row r="86" spans="1:10" ht="15.75">
      <c r="A86" s="83">
        <v>507777</v>
      </c>
      <c r="B86" s="238">
        <v>206470</v>
      </c>
      <c r="C86" s="238" t="s">
        <v>353</v>
      </c>
      <c r="D86" s="238" t="s">
        <v>421</v>
      </c>
      <c r="E86" s="91" t="s">
        <v>313</v>
      </c>
      <c r="F86" s="91" t="s">
        <v>46</v>
      </c>
      <c r="G86" s="239">
        <v>43709</v>
      </c>
      <c r="H86" s="239">
        <v>44530</v>
      </c>
      <c r="I86" s="243">
        <v>54000</v>
      </c>
      <c r="J86" s="243">
        <v>17998.2</v>
      </c>
    </row>
    <row r="87" spans="1:10" ht="15.75">
      <c r="A87" s="83">
        <v>507777</v>
      </c>
      <c r="B87" s="238">
        <v>208815</v>
      </c>
      <c r="C87" s="238" t="s">
        <v>353</v>
      </c>
      <c r="D87" s="238" t="s">
        <v>423</v>
      </c>
      <c r="E87" s="91" t="s">
        <v>315</v>
      </c>
      <c r="F87" s="91" t="s">
        <v>53</v>
      </c>
      <c r="G87" s="239">
        <v>43709</v>
      </c>
      <c r="H87" s="239">
        <v>44530</v>
      </c>
      <c r="I87" s="243">
        <v>48240</v>
      </c>
      <c r="J87" s="243">
        <v>16078.392</v>
      </c>
    </row>
    <row r="88" spans="1:10" ht="15.75">
      <c r="A88" s="83">
        <v>507778</v>
      </c>
      <c r="B88" s="238">
        <v>207444</v>
      </c>
      <c r="C88" s="238" t="s">
        <v>353</v>
      </c>
      <c r="D88" s="238" t="s">
        <v>348</v>
      </c>
      <c r="E88" s="91" t="s">
        <v>434</v>
      </c>
      <c r="F88" s="91" t="s">
        <v>46</v>
      </c>
      <c r="G88" s="239">
        <v>43709</v>
      </c>
      <c r="H88" s="239">
        <v>44530</v>
      </c>
      <c r="I88" s="243">
        <v>50000</v>
      </c>
      <c r="J88" s="243">
        <v>16665</v>
      </c>
    </row>
    <row r="89" spans="1:10" ht="15.75">
      <c r="A89" s="83">
        <v>507778</v>
      </c>
      <c r="B89" s="83">
        <v>210089</v>
      </c>
      <c r="C89" s="83" t="s">
        <v>353</v>
      </c>
      <c r="D89" s="83" t="s">
        <v>428</v>
      </c>
      <c r="E89" s="86" t="s">
        <v>429</v>
      </c>
      <c r="F89" s="244" t="s">
        <v>82</v>
      </c>
      <c r="G89" s="239">
        <v>43709</v>
      </c>
      <c r="H89" s="239">
        <v>44530</v>
      </c>
      <c r="I89" s="84">
        <v>26250</v>
      </c>
      <c r="J89" s="84">
        <v>8749.125</v>
      </c>
    </row>
    <row r="90" spans="1:10" ht="15.75">
      <c r="A90" s="83">
        <v>507778</v>
      </c>
      <c r="B90" s="238">
        <v>210089</v>
      </c>
      <c r="C90" s="238" t="s">
        <v>353</v>
      </c>
      <c r="D90" s="238" t="s">
        <v>428</v>
      </c>
      <c r="E90" s="91" t="s">
        <v>429</v>
      </c>
      <c r="F90" s="91" t="s">
        <v>82</v>
      </c>
      <c r="G90" s="239">
        <v>43709</v>
      </c>
      <c r="H90" s="239">
        <v>44530</v>
      </c>
      <c r="I90" s="243">
        <v>169000</v>
      </c>
      <c r="J90" s="243">
        <v>56327.7</v>
      </c>
    </row>
    <row r="91" spans="1:10" ht="15.75">
      <c r="A91" s="83">
        <v>507778</v>
      </c>
      <c r="B91" s="238">
        <v>210174</v>
      </c>
      <c r="C91" s="238" t="s">
        <v>353</v>
      </c>
      <c r="D91" s="238" t="s">
        <v>377</v>
      </c>
      <c r="E91" s="91" t="s">
        <v>426</v>
      </c>
      <c r="F91" s="91" t="s">
        <v>46</v>
      </c>
      <c r="G91" s="239">
        <v>43709</v>
      </c>
      <c r="H91" s="239">
        <v>44530</v>
      </c>
      <c r="I91" s="243">
        <v>14250</v>
      </c>
      <c r="J91" s="243">
        <v>4749.5249999999996</v>
      </c>
    </row>
    <row r="92" spans="1:10" ht="15.75">
      <c r="A92" s="83">
        <v>507778</v>
      </c>
      <c r="B92" s="238">
        <v>210174</v>
      </c>
      <c r="C92" s="238" t="s">
        <v>353</v>
      </c>
      <c r="D92" s="238" t="s">
        <v>377</v>
      </c>
      <c r="E92" s="91" t="s">
        <v>427</v>
      </c>
      <c r="F92" s="91" t="s">
        <v>46</v>
      </c>
      <c r="G92" s="239">
        <v>43709</v>
      </c>
      <c r="H92" s="239">
        <v>44530</v>
      </c>
      <c r="I92" s="243">
        <v>66000</v>
      </c>
      <c r="J92" s="243">
        <v>21997.8</v>
      </c>
    </row>
    <row r="93" spans="1:10" ht="15.75">
      <c r="A93" s="83">
        <v>507778</v>
      </c>
      <c r="B93" s="238">
        <v>211058</v>
      </c>
      <c r="C93" s="238" t="s">
        <v>353</v>
      </c>
      <c r="D93" s="238" t="s">
        <v>432</v>
      </c>
      <c r="E93" s="91" t="s">
        <v>433</v>
      </c>
      <c r="F93" s="91" t="s">
        <v>46</v>
      </c>
      <c r="G93" s="239">
        <v>43709</v>
      </c>
      <c r="H93" s="239">
        <v>44530</v>
      </c>
      <c r="I93" s="243">
        <v>11875</v>
      </c>
      <c r="J93" s="243">
        <v>3957.9375</v>
      </c>
    </row>
    <row r="94" spans="1:10" ht="15.75">
      <c r="A94" s="83">
        <v>507778</v>
      </c>
      <c r="B94" s="238">
        <v>211058</v>
      </c>
      <c r="C94" s="238" t="s">
        <v>353</v>
      </c>
      <c r="D94" s="238" t="s">
        <v>432</v>
      </c>
      <c r="E94" s="91" t="s">
        <v>433</v>
      </c>
      <c r="F94" s="91" t="s">
        <v>46</v>
      </c>
      <c r="G94" s="239">
        <v>43709</v>
      </c>
      <c r="H94" s="239">
        <v>44530</v>
      </c>
      <c r="I94" s="243">
        <v>76000</v>
      </c>
      <c r="J94" s="243">
        <v>25330.799999999999</v>
      </c>
    </row>
    <row r="95" spans="1:10" ht="15.75">
      <c r="A95" s="83">
        <v>507778</v>
      </c>
      <c r="B95" s="238">
        <v>212343</v>
      </c>
      <c r="C95" s="238" t="s">
        <v>353</v>
      </c>
      <c r="D95" s="238" t="s">
        <v>430</v>
      </c>
      <c r="E95" s="91" t="s">
        <v>431</v>
      </c>
      <c r="F95" s="91" t="s">
        <v>82</v>
      </c>
      <c r="G95" s="239">
        <v>43709</v>
      </c>
      <c r="H95" s="239">
        <v>44530</v>
      </c>
      <c r="I95" s="243">
        <v>25750</v>
      </c>
      <c r="J95" s="243">
        <v>8582.4750000000004</v>
      </c>
    </row>
    <row r="96" spans="1:10" ht="15.75">
      <c r="A96" s="83">
        <v>507778</v>
      </c>
      <c r="B96" s="238">
        <v>212343</v>
      </c>
      <c r="C96" s="238" t="s">
        <v>353</v>
      </c>
      <c r="D96" s="238" t="s">
        <v>430</v>
      </c>
      <c r="E96" s="91" t="s">
        <v>431</v>
      </c>
      <c r="F96" s="91" t="s">
        <v>82</v>
      </c>
      <c r="G96" s="239">
        <v>43709</v>
      </c>
      <c r="H96" s="239">
        <v>44530</v>
      </c>
      <c r="I96" s="243">
        <v>139000</v>
      </c>
      <c r="J96" s="243">
        <v>46328.7</v>
      </c>
    </row>
    <row r="97" spans="1:10" ht="15.75">
      <c r="A97" s="83">
        <v>507779</v>
      </c>
      <c r="B97" s="238">
        <v>200037</v>
      </c>
      <c r="C97" s="238" t="s">
        <v>353</v>
      </c>
      <c r="D97" s="238" t="s">
        <v>438</v>
      </c>
      <c r="E97" s="91" t="s">
        <v>439</v>
      </c>
      <c r="F97" s="91" t="s">
        <v>75</v>
      </c>
      <c r="G97" s="239">
        <v>43709</v>
      </c>
      <c r="H97" s="239">
        <v>44530</v>
      </c>
      <c r="I97" s="243">
        <v>95000</v>
      </c>
      <c r="J97" s="243">
        <v>31663.5</v>
      </c>
    </row>
    <row r="98" spans="1:10" ht="15.75">
      <c r="A98" s="83">
        <v>507779</v>
      </c>
      <c r="B98" s="238">
        <v>208609</v>
      </c>
      <c r="C98" s="238" t="s">
        <v>353</v>
      </c>
      <c r="D98" s="238" t="s">
        <v>435</v>
      </c>
      <c r="E98" s="91" t="s">
        <v>436</v>
      </c>
      <c r="F98" s="91" t="s">
        <v>82</v>
      </c>
      <c r="G98" s="239">
        <v>43709</v>
      </c>
      <c r="H98" s="239">
        <v>44530</v>
      </c>
      <c r="I98" s="243">
        <v>200000</v>
      </c>
      <c r="J98" s="243">
        <v>66660</v>
      </c>
    </row>
    <row r="99" spans="1:10" ht="15.75">
      <c r="A99" s="83">
        <v>507779</v>
      </c>
      <c r="B99" s="238">
        <v>208616</v>
      </c>
      <c r="C99" s="238" t="s">
        <v>353</v>
      </c>
      <c r="D99" s="238" t="s">
        <v>437</v>
      </c>
      <c r="E99" s="91" t="s">
        <v>334</v>
      </c>
      <c r="F99" s="91" t="s">
        <v>53</v>
      </c>
      <c r="G99" s="239">
        <v>43709</v>
      </c>
      <c r="H99" s="239">
        <v>44530</v>
      </c>
      <c r="I99" s="243">
        <v>80000</v>
      </c>
      <c r="J99" s="243">
        <v>26664</v>
      </c>
    </row>
    <row r="100" spans="1:10" ht="15.75">
      <c r="A100" s="83">
        <v>507779</v>
      </c>
      <c r="B100" s="238">
        <v>208630</v>
      </c>
      <c r="C100" s="238" t="s">
        <v>353</v>
      </c>
      <c r="D100" s="238" t="s">
        <v>440</v>
      </c>
      <c r="E100" s="91" t="s">
        <v>329</v>
      </c>
      <c r="F100" s="91" t="s">
        <v>53</v>
      </c>
      <c r="G100" s="239">
        <v>43709</v>
      </c>
      <c r="H100" s="239">
        <v>44530</v>
      </c>
      <c r="I100" s="243">
        <v>75000</v>
      </c>
      <c r="J100" s="243">
        <v>24997.5</v>
      </c>
    </row>
    <row r="101" spans="1:10" ht="15.75">
      <c r="A101" s="83">
        <v>507779</v>
      </c>
      <c r="B101" s="238">
        <v>208631</v>
      </c>
      <c r="C101" s="238" t="s">
        <v>353</v>
      </c>
      <c r="D101" s="238" t="s">
        <v>443</v>
      </c>
      <c r="E101" s="91" t="s">
        <v>444</v>
      </c>
      <c r="F101" s="91" t="s">
        <v>53</v>
      </c>
      <c r="G101" s="239">
        <v>43709</v>
      </c>
      <c r="H101" s="239">
        <v>44530</v>
      </c>
      <c r="I101" s="243">
        <v>50000</v>
      </c>
      <c r="J101" s="243">
        <v>16665</v>
      </c>
    </row>
    <row r="102" spans="1:10" ht="15.75">
      <c r="A102" s="83">
        <v>507779</v>
      </c>
      <c r="B102" s="238">
        <v>208750</v>
      </c>
      <c r="C102" s="238" t="s">
        <v>353</v>
      </c>
      <c r="D102" s="238" t="s">
        <v>441</v>
      </c>
      <c r="E102" s="91" t="s">
        <v>336</v>
      </c>
      <c r="F102" s="91" t="s">
        <v>53</v>
      </c>
      <c r="G102" s="239">
        <v>43709</v>
      </c>
      <c r="H102" s="239">
        <v>44530</v>
      </c>
      <c r="I102" s="243">
        <v>70000</v>
      </c>
      <c r="J102" s="243">
        <v>23331</v>
      </c>
    </row>
    <row r="103" spans="1:10" ht="15.75">
      <c r="A103" s="83">
        <v>507779</v>
      </c>
      <c r="B103" s="238">
        <v>209346</v>
      </c>
      <c r="C103" s="238" t="s">
        <v>353</v>
      </c>
      <c r="D103" s="238" t="s">
        <v>442</v>
      </c>
      <c r="E103" s="91" t="s">
        <v>327</v>
      </c>
      <c r="F103" s="91" t="s">
        <v>53</v>
      </c>
      <c r="G103" s="239">
        <v>43709</v>
      </c>
      <c r="H103" s="239">
        <v>44530</v>
      </c>
      <c r="I103" s="243">
        <v>80000</v>
      </c>
      <c r="J103" s="243">
        <v>26664</v>
      </c>
    </row>
    <row r="104" spans="1:10" ht="15.75">
      <c r="A104" s="83">
        <v>507782</v>
      </c>
      <c r="B104" s="83">
        <v>202616</v>
      </c>
      <c r="C104" s="83" t="s">
        <v>6</v>
      </c>
      <c r="D104" s="83" t="s">
        <v>47</v>
      </c>
      <c r="E104" s="86" t="s">
        <v>346</v>
      </c>
      <c r="F104" s="86" t="s">
        <v>46</v>
      </c>
      <c r="G104" s="239">
        <v>43709</v>
      </c>
      <c r="H104" s="239">
        <v>44742</v>
      </c>
      <c r="I104" s="84">
        <v>300000</v>
      </c>
      <c r="J104" s="84">
        <v>99990</v>
      </c>
    </row>
    <row r="105" spans="1:10" ht="15.75">
      <c r="A105" s="83">
        <v>508292</v>
      </c>
      <c r="B105" s="238">
        <v>211058</v>
      </c>
      <c r="C105" s="238" t="s">
        <v>353</v>
      </c>
      <c r="D105" s="238" t="s">
        <v>432</v>
      </c>
      <c r="E105" s="91" t="s">
        <v>338</v>
      </c>
      <c r="F105" s="91" t="s">
        <v>46</v>
      </c>
      <c r="G105" s="239">
        <v>43709</v>
      </c>
      <c r="H105" s="239">
        <v>44530</v>
      </c>
      <c r="I105" s="243">
        <v>18750</v>
      </c>
      <c r="J105" s="243">
        <v>6249.375</v>
      </c>
    </row>
    <row r="106" spans="1:10" ht="15.75">
      <c r="A106" s="83">
        <v>508292</v>
      </c>
      <c r="B106" s="238">
        <v>211058</v>
      </c>
      <c r="C106" s="238" t="s">
        <v>353</v>
      </c>
      <c r="D106" s="238" t="s">
        <v>432</v>
      </c>
      <c r="E106" s="91" t="s">
        <v>445</v>
      </c>
      <c r="F106" s="91" t="s">
        <v>46</v>
      </c>
      <c r="G106" s="239">
        <v>43709</v>
      </c>
      <c r="H106" s="239">
        <v>44530</v>
      </c>
      <c r="I106" s="243">
        <v>100000</v>
      </c>
      <c r="J106" s="243">
        <v>33330</v>
      </c>
    </row>
    <row r="107" spans="1:10" ht="15.75">
      <c r="A107" s="96">
        <v>509180</v>
      </c>
      <c r="B107" s="83">
        <v>209792</v>
      </c>
      <c r="C107" s="83" t="s">
        <v>8</v>
      </c>
      <c r="D107" s="83" t="s">
        <v>450</v>
      </c>
      <c r="E107" s="86" t="s">
        <v>451</v>
      </c>
      <c r="F107" s="86" t="s">
        <v>46</v>
      </c>
      <c r="G107" s="239">
        <v>43952</v>
      </c>
      <c r="H107" s="239">
        <v>44805</v>
      </c>
      <c r="I107" s="243">
        <v>165101</v>
      </c>
      <c r="J107" s="84">
        <v>55028.1633</v>
      </c>
    </row>
    <row r="108" spans="1:10" ht="15.75">
      <c r="A108" s="96">
        <v>509181</v>
      </c>
      <c r="B108" s="83">
        <v>209792</v>
      </c>
      <c r="C108" s="83" t="s">
        <v>8</v>
      </c>
      <c r="D108" s="83" t="s">
        <v>450</v>
      </c>
      <c r="E108" s="86" t="s">
        <v>451</v>
      </c>
      <c r="F108" s="86" t="s">
        <v>46</v>
      </c>
      <c r="G108" s="239">
        <v>43952</v>
      </c>
      <c r="H108" s="239">
        <v>44805</v>
      </c>
      <c r="I108" s="84">
        <v>608571</v>
      </c>
      <c r="J108" s="84">
        <v>202836.71429999999</v>
      </c>
    </row>
    <row r="109" spans="1:10" ht="15.75">
      <c r="A109" s="96">
        <v>509181</v>
      </c>
      <c r="B109" s="83">
        <v>209792</v>
      </c>
      <c r="C109" s="83" t="s">
        <v>8</v>
      </c>
      <c r="D109" s="83" t="s">
        <v>450</v>
      </c>
      <c r="E109" s="86" t="s">
        <v>451</v>
      </c>
      <c r="F109" s="86" t="s">
        <v>46</v>
      </c>
      <c r="G109" s="239">
        <v>43952</v>
      </c>
      <c r="H109" s="239">
        <v>44805</v>
      </c>
      <c r="I109" s="84">
        <v>-445000</v>
      </c>
      <c r="J109" s="84">
        <v>-148318.5</v>
      </c>
    </row>
    <row r="110" spans="1:10" ht="15.75">
      <c r="A110" s="83">
        <v>509181</v>
      </c>
      <c r="B110" s="238">
        <v>209792</v>
      </c>
      <c r="C110" s="238" t="s">
        <v>8</v>
      </c>
      <c r="D110" s="238" t="s">
        <v>450</v>
      </c>
      <c r="E110" s="86" t="s">
        <v>451</v>
      </c>
      <c r="F110" s="86" t="s">
        <v>46</v>
      </c>
      <c r="G110" s="239">
        <v>43952</v>
      </c>
      <c r="H110" s="239">
        <v>44805</v>
      </c>
      <c r="I110" s="243">
        <v>445000</v>
      </c>
      <c r="J110" s="243">
        <v>148318.5</v>
      </c>
    </row>
    <row r="111" spans="1:10" ht="15.75">
      <c r="A111" s="83">
        <v>509284</v>
      </c>
      <c r="B111" s="83">
        <v>206595</v>
      </c>
      <c r="C111" s="83" t="s">
        <v>488</v>
      </c>
      <c r="D111" s="83" t="s">
        <v>368</v>
      </c>
      <c r="E111" s="86" t="s">
        <v>502</v>
      </c>
      <c r="F111" s="86" t="s">
        <v>46</v>
      </c>
      <c r="G111" s="239">
        <v>44013</v>
      </c>
      <c r="H111" s="239">
        <v>44742</v>
      </c>
      <c r="I111" s="84">
        <v>75000</v>
      </c>
      <c r="J111" s="84">
        <v>24997.5</v>
      </c>
    </row>
    <row r="112" spans="1:10" ht="15.75">
      <c r="A112" s="83">
        <v>509285</v>
      </c>
      <c r="B112" s="83">
        <v>209801</v>
      </c>
      <c r="C112" s="83" t="s">
        <v>488</v>
      </c>
      <c r="D112" s="83" t="s">
        <v>503</v>
      </c>
      <c r="E112" s="86" t="s">
        <v>504</v>
      </c>
      <c r="F112" s="86" t="s">
        <v>68</v>
      </c>
      <c r="G112" s="239">
        <v>44013</v>
      </c>
      <c r="H112" s="239">
        <v>44742</v>
      </c>
      <c r="I112" s="84">
        <v>75000</v>
      </c>
      <c r="J112" s="84">
        <v>24997.5</v>
      </c>
    </row>
    <row r="113" spans="1:10" ht="15.75">
      <c r="A113" s="83">
        <v>509588</v>
      </c>
      <c r="B113" s="238">
        <v>208607</v>
      </c>
      <c r="C113" s="238" t="s">
        <v>488</v>
      </c>
      <c r="D113" s="238" t="s">
        <v>391</v>
      </c>
      <c r="E113" s="86" t="s">
        <v>505</v>
      </c>
      <c r="F113" s="86" t="s">
        <v>53</v>
      </c>
      <c r="G113" s="239">
        <v>44013</v>
      </c>
      <c r="H113" s="239">
        <v>44742</v>
      </c>
      <c r="I113" s="84">
        <v>75000</v>
      </c>
      <c r="J113" s="84">
        <v>24997.5</v>
      </c>
    </row>
    <row r="114" spans="1:10" ht="15.75">
      <c r="A114" s="83">
        <v>509589</v>
      </c>
      <c r="B114" s="83">
        <v>212183</v>
      </c>
      <c r="C114" s="83" t="s">
        <v>488</v>
      </c>
      <c r="D114" s="83" t="s">
        <v>464</v>
      </c>
      <c r="E114" s="86" t="s">
        <v>507</v>
      </c>
      <c r="F114" s="86" t="s">
        <v>68</v>
      </c>
      <c r="G114" s="239">
        <v>44075</v>
      </c>
      <c r="H114" s="239">
        <v>44804</v>
      </c>
      <c r="I114" s="84">
        <v>75000</v>
      </c>
      <c r="J114" s="84">
        <v>24997.5</v>
      </c>
    </row>
    <row r="115" spans="1:10" ht="15.75">
      <c r="A115" s="83">
        <v>509633</v>
      </c>
      <c r="B115" s="83">
        <v>209400</v>
      </c>
      <c r="C115" s="83" t="s">
        <v>19</v>
      </c>
      <c r="D115" s="83" t="s">
        <v>343</v>
      </c>
      <c r="E115" s="86" t="s">
        <v>471</v>
      </c>
      <c r="F115" s="86" t="s">
        <v>46</v>
      </c>
      <c r="G115" s="239">
        <v>44044</v>
      </c>
      <c r="H115" s="239">
        <v>44408</v>
      </c>
      <c r="I115" s="84">
        <v>100000</v>
      </c>
      <c r="J115" s="84">
        <v>33330</v>
      </c>
    </row>
    <row r="116" spans="1:10" ht="15.75">
      <c r="A116" s="83">
        <v>509633</v>
      </c>
      <c r="B116" s="83">
        <v>209400</v>
      </c>
      <c r="C116" s="83" t="s">
        <v>19</v>
      </c>
      <c r="D116" s="83" t="s">
        <v>343</v>
      </c>
      <c r="E116" s="86" t="s">
        <v>471</v>
      </c>
      <c r="F116" s="86" t="s">
        <v>46</v>
      </c>
      <c r="G116" s="239">
        <v>44044</v>
      </c>
      <c r="H116" s="239">
        <v>44408</v>
      </c>
      <c r="I116" s="84">
        <v>-64100</v>
      </c>
      <c r="J116" s="243">
        <v>-21364.53</v>
      </c>
    </row>
    <row r="117" spans="1:10" ht="15.75">
      <c r="A117" s="83">
        <v>509633</v>
      </c>
      <c r="B117" s="238">
        <v>209400</v>
      </c>
      <c r="C117" s="238" t="s">
        <v>19</v>
      </c>
      <c r="D117" s="238" t="s">
        <v>343</v>
      </c>
      <c r="E117" s="91" t="s">
        <v>471</v>
      </c>
      <c r="F117" s="91" t="s">
        <v>46</v>
      </c>
      <c r="G117" s="239">
        <v>44044</v>
      </c>
      <c r="H117" s="239">
        <v>44408</v>
      </c>
      <c r="I117" s="243">
        <v>64100</v>
      </c>
      <c r="J117" s="243">
        <v>21364.53</v>
      </c>
    </row>
    <row r="118" spans="1:10" ht="15.75">
      <c r="A118" s="83">
        <v>509653</v>
      </c>
      <c r="B118" s="83">
        <v>207233</v>
      </c>
      <c r="C118" s="83" t="s">
        <v>19</v>
      </c>
      <c r="D118" s="83" t="s">
        <v>373</v>
      </c>
      <c r="E118" s="86" t="s">
        <v>215</v>
      </c>
      <c r="F118" s="86" t="s">
        <v>46</v>
      </c>
      <c r="G118" s="239">
        <v>44044</v>
      </c>
      <c r="H118" s="239">
        <v>44408</v>
      </c>
      <c r="I118" s="84">
        <v>10000</v>
      </c>
      <c r="J118" s="84">
        <v>3333</v>
      </c>
    </row>
    <row r="119" spans="1:10" ht="15.75">
      <c r="A119" s="83">
        <v>509653</v>
      </c>
      <c r="B119" s="83">
        <v>209194</v>
      </c>
      <c r="C119" s="83" t="s">
        <v>19</v>
      </c>
      <c r="D119" s="83" t="s">
        <v>472</v>
      </c>
      <c r="E119" s="86" t="s">
        <v>473</v>
      </c>
      <c r="F119" s="86" t="s">
        <v>46</v>
      </c>
      <c r="G119" s="239">
        <v>44044</v>
      </c>
      <c r="H119" s="239">
        <v>44408</v>
      </c>
      <c r="I119" s="84">
        <v>90000</v>
      </c>
      <c r="J119" s="84">
        <v>29997</v>
      </c>
    </row>
    <row r="120" spans="1:10" ht="15.75">
      <c r="A120" s="83">
        <v>509666</v>
      </c>
      <c r="B120" s="83">
        <v>208489</v>
      </c>
      <c r="C120" s="83" t="s">
        <v>19</v>
      </c>
      <c r="D120" s="83" t="s">
        <v>395</v>
      </c>
      <c r="E120" s="86" t="s">
        <v>219</v>
      </c>
      <c r="F120" s="86" t="s">
        <v>68</v>
      </c>
      <c r="G120" s="239">
        <v>44044</v>
      </c>
      <c r="H120" s="239">
        <v>44408</v>
      </c>
      <c r="I120" s="84">
        <v>33000</v>
      </c>
      <c r="J120" s="84">
        <v>10998.9</v>
      </c>
    </row>
    <row r="121" spans="1:10" ht="15.75">
      <c r="A121" s="83">
        <v>509666</v>
      </c>
      <c r="B121" s="83">
        <v>208810</v>
      </c>
      <c r="C121" s="83" t="s">
        <v>19</v>
      </c>
      <c r="D121" s="83" t="s">
        <v>398</v>
      </c>
      <c r="E121" s="86" t="s">
        <v>220</v>
      </c>
      <c r="F121" s="86" t="s">
        <v>53</v>
      </c>
      <c r="G121" s="239">
        <v>44044</v>
      </c>
      <c r="H121" s="239">
        <v>44408</v>
      </c>
      <c r="I121" s="84">
        <v>23000</v>
      </c>
      <c r="J121" s="84">
        <v>7665.9</v>
      </c>
    </row>
    <row r="122" spans="1:10" ht="15.75">
      <c r="A122" s="83">
        <v>509666</v>
      </c>
      <c r="B122" s="83">
        <v>209438</v>
      </c>
      <c r="C122" s="83" t="s">
        <v>19</v>
      </c>
      <c r="D122" s="83" t="s">
        <v>457</v>
      </c>
      <c r="E122" s="86" t="s">
        <v>474</v>
      </c>
      <c r="F122" s="86" t="s">
        <v>46</v>
      </c>
      <c r="G122" s="239">
        <v>44044</v>
      </c>
      <c r="H122" s="239">
        <v>44408</v>
      </c>
      <c r="I122" s="84">
        <v>44000</v>
      </c>
      <c r="J122" s="84">
        <v>14665.199999999999</v>
      </c>
    </row>
    <row r="123" spans="1:10" ht="15.75">
      <c r="A123" s="83">
        <v>509667</v>
      </c>
      <c r="B123" s="83">
        <v>209936</v>
      </c>
      <c r="C123" s="83" t="s">
        <v>19</v>
      </c>
      <c r="D123" s="83" t="e">
        <v>#N/A</v>
      </c>
      <c r="E123" s="86" t="s">
        <v>222</v>
      </c>
      <c r="F123" s="86" t="s">
        <v>68</v>
      </c>
      <c r="G123" s="239">
        <v>44044</v>
      </c>
      <c r="H123" s="239">
        <v>44773</v>
      </c>
      <c r="I123" s="84">
        <v>100000</v>
      </c>
      <c r="J123" s="84">
        <v>33330</v>
      </c>
    </row>
    <row r="124" spans="1:10" ht="15.75">
      <c r="A124" s="83">
        <v>509703</v>
      </c>
      <c r="B124" s="83">
        <v>200483</v>
      </c>
      <c r="C124" s="83" t="s">
        <v>19</v>
      </c>
      <c r="D124" s="83" t="s">
        <v>476</v>
      </c>
      <c r="E124" s="86" t="s">
        <v>477</v>
      </c>
      <c r="F124" s="86" t="s">
        <v>68</v>
      </c>
      <c r="G124" s="239">
        <v>44044</v>
      </c>
      <c r="H124" s="239">
        <v>44408</v>
      </c>
      <c r="I124" s="84">
        <v>20000</v>
      </c>
      <c r="J124" s="84">
        <v>6666</v>
      </c>
    </row>
    <row r="125" spans="1:10" ht="15.75">
      <c r="A125" s="83">
        <v>509703</v>
      </c>
      <c r="B125" s="83">
        <v>209946</v>
      </c>
      <c r="C125" s="83" t="s">
        <v>19</v>
      </c>
      <c r="D125" s="83" t="s">
        <v>478</v>
      </c>
      <c r="E125" s="86" t="s">
        <v>479</v>
      </c>
      <c r="F125" s="86" t="s">
        <v>68</v>
      </c>
      <c r="G125" s="239">
        <v>44044</v>
      </c>
      <c r="H125" s="239">
        <v>44408</v>
      </c>
      <c r="I125" s="84">
        <v>80000</v>
      </c>
      <c r="J125" s="84">
        <v>26664</v>
      </c>
    </row>
    <row r="126" spans="1:10" ht="15.75">
      <c r="A126" s="83">
        <v>509882</v>
      </c>
      <c r="B126" s="83">
        <v>206244</v>
      </c>
      <c r="C126" s="83" t="s">
        <v>19</v>
      </c>
      <c r="D126" s="83" t="s">
        <v>480</v>
      </c>
      <c r="E126" s="86" t="s">
        <v>481</v>
      </c>
      <c r="F126" s="86" t="s">
        <v>46</v>
      </c>
      <c r="G126" s="239">
        <v>44044</v>
      </c>
      <c r="H126" s="239">
        <v>44592</v>
      </c>
      <c r="I126" s="84">
        <v>19335</v>
      </c>
      <c r="J126" s="84">
        <v>6444.3554999999997</v>
      </c>
    </row>
    <row r="127" spans="1:10" ht="15.75">
      <c r="A127" s="83">
        <v>509882</v>
      </c>
      <c r="B127" s="83">
        <v>208725</v>
      </c>
      <c r="C127" s="83" t="s">
        <v>19</v>
      </c>
      <c r="D127" s="83" t="s">
        <v>482</v>
      </c>
      <c r="E127" s="86" t="s">
        <v>483</v>
      </c>
      <c r="F127" s="86" t="s">
        <v>68</v>
      </c>
      <c r="G127" s="239">
        <v>44044</v>
      </c>
      <c r="H127" s="239">
        <v>44592</v>
      </c>
      <c r="I127" s="84">
        <v>41300</v>
      </c>
      <c r="J127" s="84">
        <v>13765.289999999999</v>
      </c>
    </row>
    <row r="128" spans="1:10" ht="15.75">
      <c r="A128" s="83">
        <v>509882</v>
      </c>
      <c r="B128" s="83">
        <v>211534</v>
      </c>
      <c r="C128" s="83" t="s">
        <v>19</v>
      </c>
      <c r="D128" s="83" t="s">
        <v>484</v>
      </c>
      <c r="E128" s="86" t="s">
        <v>485</v>
      </c>
      <c r="F128" s="86" t="s">
        <v>68</v>
      </c>
      <c r="G128" s="239">
        <v>44044</v>
      </c>
      <c r="H128" s="239">
        <v>44592</v>
      </c>
      <c r="I128" s="84">
        <v>39365</v>
      </c>
      <c r="J128" s="84">
        <v>13120.354499999999</v>
      </c>
    </row>
    <row r="129" spans="1:10" ht="15.75">
      <c r="A129" s="83">
        <v>511140</v>
      </c>
      <c r="B129" s="238">
        <v>212630</v>
      </c>
      <c r="C129" s="238" t="s">
        <v>19</v>
      </c>
      <c r="D129" s="238" t="s">
        <v>486</v>
      </c>
      <c r="E129" s="91" t="s">
        <v>487</v>
      </c>
      <c r="F129" s="91" t="s">
        <v>46</v>
      </c>
      <c r="G129" s="239">
        <v>44044</v>
      </c>
      <c r="H129" s="239">
        <v>44408</v>
      </c>
      <c r="I129" s="243">
        <v>100000</v>
      </c>
      <c r="J129" s="243">
        <v>33330</v>
      </c>
    </row>
    <row r="130" spans="1:10" ht="15.75">
      <c r="A130" s="83">
        <v>511440</v>
      </c>
      <c r="B130" s="238">
        <v>208728</v>
      </c>
      <c r="C130" s="238" t="s">
        <v>341</v>
      </c>
      <c r="D130" s="238" t="s">
        <v>342</v>
      </c>
      <c r="E130" s="91" t="s">
        <v>180</v>
      </c>
      <c r="F130" s="91" t="s">
        <v>53</v>
      </c>
      <c r="G130" s="239">
        <v>44075</v>
      </c>
      <c r="H130" s="239">
        <v>44439</v>
      </c>
      <c r="I130" s="243">
        <v>12500</v>
      </c>
      <c r="J130" s="243">
        <v>4166.25</v>
      </c>
    </row>
    <row r="131" spans="1:10" ht="15.75">
      <c r="A131" s="83">
        <v>511440</v>
      </c>
      <c r="B131" s="238">
        <v>209400</v>
      </c>
      <c r="C131" s="238" t="s">
        <v>341</v>
      </c>
      <c r="D131" s="238" t="s">
        <v>343</v>
      </c>
      <c r="E131" s="91" t="s">
        <v>179</v>
      </c>
      <c r="F131" s="91" t="s">
        <v>46</v>
      </c>
      <c r="G131" s="239">
        <v>44075</v>
      </c>
      <c r="H131" s="239">
        <v>44439</v>
      </c>
      <c r="I131" s="243">
        <v>12500</v>
      </c>
      <c r="J131" s="243">
        <v>4166.25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B11"/>
  <sheetViews>
    <sheetView workbookViewId="0">
      <selection activeCell="A10" sqref="A10"/>
    </sheetView>
  </sheetViews>
  <sheetFormatPr defaultRowHeight="15"/>
  <cols>
    <col min="1" max="1" width="39.5703125" bestFit="1" customWidth="1"/>
    <col min="2" max="2" width="44.85546875" bestFit="1" customWidth="1"/>
  </cols>
  <sheetData>
    <row r="1" spans="1:2">
      <c r="A1" t="s">
        <v>1572</v>
      </c>
      <c r="B1" t="s">
        <v>1573</v>
      </c>
    </row>
    <row r="2" spans="1:2" ht="16.5">
      <c r="A2" t="s">
        <v>515</v>
      </c>
      <c r="B2" s="65" t="s">
        <v>347</v>
      </c>
    </row>
    <row r="3" spans="1:2" ht="16.5">
      <c r="A3" t="s">
        <v>519</v>
      </c>
      <c r="B3" s="65" t="s">
        <v>353</v>
      </c>
    </row>
    <row r="4" spans="1:2" ht="16.5">
      <c r="A4" s="83" t="s">
        <v>521</v>
      </c>
      <c r="B4" s="65" t="s">
        <v>341</v>
      </c>
    </row>
    <row r="5" spans="1:2" ht="16.5">
      <c r="A5" t="s">
        <v>520</v>
      </c>
      <c r="B5" s="65" t="s">
        <v>6</v>
      </c>
    </row>
    <row r="6" spans="1:2" ht="16.5">
      <c r="A6" t="s">
        <v>513</v>
      </c>
      <c r="B6" s="65" t="s">
        <v>6</v>
      </c>
    </row>
    <row r="7" spans="1:2" ht="16.5">
      <c r="A7" s="195" t="s">
        <v>514</v>
      </c>
      <c r="B7" s="65" t="s">
        <v>6</v>
      </c>
    </row>
    <row r="8" spans="1:2" ht="16.5">
      <c r="A8" t="s">
        <v>518</v>
      </c>
      <c r="B8" s="65" t="s">
        <v>8</v>
      </c>
    </row>
    <row r="9" spans="1:2" ht="16.5">
      <c r="A9" t="s">
        <v>19</v>
      </c>
      <c r="B9" s="65" t="s">
        <v>19</v>
      </c>
    </row>
    <row r="10" spans="1:2" ht="16.5">
      <c r="A10" t="s">
        <v>1034</v>
      </c>
      <c r="B10" s="65" t="s">
        <v>488</v>
      </c>
    </row>
    <row r="11" spans="1:2" ht="16.5">
      <c r="A11" t="s">
        <v>517</v>
      </c>
      <c r="B11" s="65" t="s">
        <v>488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A1:J133"/>
  <sheetViews>
    <sheetView topLeftCell="A72" workbookViewId="0">
      <selection sqref="A1:B1"/>
    </sheetView>
  </sheetViews>
  <sheetFormatPr defaultRowHeight="15"/>
  <cols>
    <col min="1" max="1" width="17.140625" customWidth="1"/>
    <col min="2" max="2" width="14.7109375" customWidth="1"/>
    <col min="3" max="3" width="19" bestFit="1" customWidth="1"/>
    <col min="4" max="4" width="19" customWidth="1"/>
    <col min="5" max="5" width="36.5703125" bestFit="1" customWidth="1"/>
    <col min="6" max="6" width="12" customWidth="1"/>
    <col min="7" max="7" width="14.140625" style="202" customWidth="1"/>
    <col min="8" max="8" width="13.85546875" style="202" bestFit="1" customWidth="1"/>
    <col min="9" max="10" width="15.28515625" bestFit="1" customWidth="1"/>
  </cols>
  <sheetData>
    <row r="1" spans="1:10" ht="16.5" thickBot="1">
      <c r="A1" s="94" t="s">
        <v>339</v>
      </c>
      <c r="B1" s="94" t="s">
        <v>340</v>
      </c>
      <c r="C1" s="94" t="s">
        <v>36</v>
      </c>
      <c r="D1" s="94" t="s">
        <v>1453</v>
      </c>
      <c r="E1" s="94" t="s">
        <v>38</v>
      </c>
      <c r="F1" s="94" t="s">
        <v>39</v>
      </c>
      <c r="G1" s="200" t="s">
        <v>40</v>
      </c>
      <c r="H1" s="200" t="s">
        <v>41</v>
      </c>
      <c r="I1" s="95" t="s">
        <v>42</v>
      </c>
      <c r="J1" s="95" t="s">
        <v>43</v>
      </c>
    </row>
    <row r="2" spans="1:10" ht="16.5" thickTop="1">
      <c r="A2" s="83">
        <v>499942</v>
      </c>
      <c r="B2" s="83">
        <v>107525</v>
      </c>
      <c r="C2" s="83" t="s">
        <v>6</v>
      </c>
      <c r="D2" s="83" t="s">
        <v>1574</v>
      </c>
      <c r="E2" s="83" t="s">
        <v>344</v>
      </c>
      <c r="F2" s="86" t="s">
        <v>46</v>
      </c>
      <c r="G2" s="201">
        <v>42248</v>
      </c>
      <c r="H2" s="201">
        <v>44651</v>
      </c>
      <c r="I2" s="84">
        <v>900000</v>
      </c>
      <c r="J2" s="84">
        <v>299970</v>
      </c>
    </row>
    <row r="3" spans="1:10" ht="15.75">
      <c r="A3" s="83">
        <v>500737</v>
      </c>
      <c r="B3" s="83">
        <v>107525</v>
      </c>
      <c r="C3" s="83" t="s">
        <v>6</v>
      </c>
      <c r="D3" s="83" t="s">
        <v>1574</v>
      </c>
      <c r="E3" s="83" t="s">
        <v>344</v>
      </c>
      <c r="F3" s="86" t="s">
        <v>46</v>
      </c>
      <c r="G3" s="201">
        <v>42248</v>
      </c>
      <c r="H3" s="201">
        <v>44651</v>
      </c>
      <c r="I3" s="84">
        <v>510000</v>
      </c>
      <c r="J3" s="84">
        <v>169983</v>
      </c>
    </row>
    <row r="4" spans="1:10" ht="15.75">
      <c r="A4" s="83">
        <v>502319</v>
      </c>
      <c r="B4" s="83">
        <v>208810</v>
      </c>
      <c r="C4" s="83" t="s">
        <v>488</v>
      </c>
      <c r="D4" s="83" t="s">
        <v>1575</v>
      </c>
      <c r="E4" s="83" t="s">
        <v>1576</v>
      </c>
      <c r="F4" s="87" t="s">
        <v>53</v>
      </c>
      <c r="G4" s="201">
        <v>42826</v>
      </c>
      <c r="H4" s="201">
        <v>43921</v>
      </c>
      <c r="I4" s="84">
        <v>25000</v>
      </c>
      <c r="J4" s="84">
        <v>8332.5</v>
      </c>
    </row>
    <row r="5" spans="1:10" ht="15.75">
      <c r="A5" s="83">
        <v>502529</v>
      </c>
      <c r="B5" s="83">
        <v>210089</v>
      </c>
      <c r="C5" s="83" t="s">
        <v>488</v>
      </c>
      <c r="D5" s="83" t="s">
        <v>1577</v>
      </c>
      <c r="E5" s="83" t="s">
        <v>1578</v>
      </c>
      <c r="F5" s="87" t="s">
        <v>82</v>
      </c>
      <c r="G5" s="201">
        <v>42826</v>
      </c>
      <c r="H5" s="201">
        <v>43921</v>
      </c>
      <c r="I5" s="84">
        <v>50000</v>
      </c>
      <c r="J5" s="84">
        <v>16665</v>
      </c>
    </row>
    <row r="6" spans="1:10" ht="15.75">
      <c r="A6" s="83">
        <v>502531</v>
      </c>
      <c r="B6" s="83">
        <v>208620</v>
      </c>
      <c r="C6" s="83" t="s">
        <v>488</v>
      </c>
      <c r="D6" s="83" t="s">
        <v>1579</v>
      </c>
      <c r="E6" s="83" t="s">
        <v>1580</v>
      </c>
      <c r="F6" s="87" t="s">
        <v>82</v>
      </c>
      <c r="G6" s="201">
        <v>42826</v>
      </c>
      <c r="H6" s="201">
        <v>43921</v>
      </c>
      <c r="I6" s="84">
        <v>50000</v>
      </c>
      <c r="J6" s="84">
        <v>16665</v>
      </c>
    </row>
    <row r="7" spans="1:10" ht="15.75">
      <c r="A7" s="96">
        <v>502535</v>
      </c>
      <c r="B7" s="83">
        <v>208616</v>
      </c>
      <c r="C7" s="83" t="s">
        <v>488</v>
      </c>
      <c r="D7" s="83" t="s">
        <v>1581</v>
      </c>
      <c r="E7" s="83" t="s">
        <v>489</v>
      </c>
      <c r="F7" s="86" t="s">
        <v>53</v>
      </c>
      <c r="G7" s="201">
        <v>43070</v>
      </c>
      <c r="H7" s="201">
        <v>44196</v>
      </c>
      <c r="I7" s="84">
        <v>50000</v>
      </c>
      <c r="J7" s="84">
        <v>16665</v>
      </c>
    </row>
    <row r="8" spans="1:10" ht="15.75">
      <c r="A8" s="83">
        <v>502553</v>
      </c>
      <c r="B8" s="83">
        <v>203770</v>
      </c>
      <c r="C8" s="83" t="s">
        <v>488</v>
      </c>
      <c r="D8" s="83" t="s">
        <v>1582</v>
      </c>
      <c r="E8" s="83" t="s">
        <v>1583</v>
      </c>
      <c r="F8" s="88" t="s">
        <v>46</v>
      </c>
      <c r="G8" s="201">
        <v>42826</v>
      </c>
      <c r="H8" s="201">
        <v>43921</v>
      </c>
      <c r="I8" s="84">
        <v>50000</v>
      </c>
      <c r="J8" s="84">
        <v>16665</v>
      </c>
    </row>
    <row r="9" spans="1:10" ht="15.75">
      <c r="A9" s="96">
        <v>504320</v>
      </c>
      <c r="B9" s="83">
        <v>205554</v>
      </c>
      <c r="C9" s="83" t="s">
        <v>488</v>
      </c>
      <c r="D9" s="83" t="s">
        <v>1584</v>
      </c>
      <c r="E9" s="83" t="s">
        <v>1585</v>
      </c>
      <c r="F9" s="88" t="s">
        <v>46</v>
      </c>
      <c r="G9" s="201">
        <v>43221</v>
      </c>
      <c r="H9" s="201">
        <v>44286</v>
      </c>
      <c r="I9" s="84">
        <v>50000</v>
      </c>
      <c r="J9" s="84">
        <v>16665</v>
      </c>
    </row>
    <row r="10" spans="1:10" ht="15.75">
      <c r="A10" s="96">
        <v>504321</v>
      </c>
      <c r="B10" s="89">
        <v>205839</v>
      </c>
      <c r="C10" s="83" t="s">
        <v>488</v>
      </c>
      <c r="D10" s="89" t="s">
        <v>1586</v>
      </c>
      <c r="E10" s="83" t="s">
        <v>1587</v>
      </c>
      <c r="F10" s="88" t="s">
        <v>46</v>
      </c>
      <c r="G10" s="201">
        <v>43191</v>
      </c>
      <c r="H10" s="201">
        <v>44286</v>
      </c>
      <c r="I10" s="84">
        <v>50000</v>
      </c>
      <c r="J10" s="84">
        <v>16665</v>
      </c>
    </row>
    <row r="11" spans="1:10" ht="15.75">
      <c r="A11" s="96">
        <v>504322</v>
      </c>
      <c r="B11" s="83">
        <v>205839</v>
      </c>
      <c r="C11" s="83" t="s">
        <v>488</v>
      </c>
      <c r="D11" s="83" t="s">
        <v>1586</v>
      </c>
      <c r="E11" s="83" t="s">
        <v>1588</v>
      </c>
      <c r="F11" s="83" t="s">
        <v>68</v>
      </c>
      <c r="G11" s="201">
        <v>43221</v>
      </c>
      <c r="H11" s="201">
        <v>44408</v>
      </c>
      <c r="I11" s="84">
        <v>50000</v>
      </c>
      <c r="J11" s="84">
        <v>16665</v>
      </c>
    </row>
    <row r="12" spans="1:10" ht="15.75">
      <c r="A12" s="83">
        <v>504334</v>
      </c>
      <c r="B12" s="83">
        <v>202019</v>
      </c>
      <c r="C12" s="83" t="s">
        <v>19</v>
      </c>
      <c r="D12" s="83" t="s">
        <v>1589</v>
      </c>
      <c r="E12" s="83" t="s">
        <v>1590</v>
      </c>
      <c r="F12" s="88" t="s">
        <v>46</v>
      </c>
      <c r="G12" s="201">
        <v>43191</v>
      </c>
      <c r="H12" s="201">
        <v>43921</v>
      </c>
      <c r="I12" s="84">
        <v>100000</v>
      </c>
      <c r="J12" s="84">
        <v>33330</v>
      </c>
    </row>
    <row r="13" spans="1:10" ht="15.75">
      <c r="A13" s="92">
        <v>504335</v>
      </c>
      <c r="B13" s="83">
        <v>203820</v>
      </c>
      <c r="C13" s="83" t="s">
        <v>19</v>
      </c>
      <c r="D13" s="83" t="s">
        <v>1591</v>
      </c>
      <c r="E13" s="83" t="s">
        <v>1592</v>
      </c>
      <c r="F13" s="88" t="s">
        <v>46</v>
      </c>
      <c r="G13" s="201">
        <v>43191</v>
      </c>
      <c r="H13" s="201">
        <v>44044</v>
      </c>
      <c r="I13" s="84">
        <v>41859</v>
      </c>
      <c r="J13" s="84">
        <v>13951.6047</v>
      </c>
    </row>
    <row r="14" spans="1:10" ht="15.75">
      <c r="A14" s="92">
        <v>504335</v>
      </c>
      <c r="B14" s="83">
        <v>208897</v>
      </c>
      <c r="C14" s="83" t="s">
        <v>19</v>
      </c>
      <c r="D14" s="83" t="s">
        <v>1593</v>
      </c>
      <c r="E14" s="83" t="s">
        <v>1594</v>
      </c>
      <c r="F14" s="88" t="s">
        <v>46</v>
      </c>
      <c r="G14" s="201">
        <v>43191</v>
      </c>
      <c r="H14" s="201">
        <v>44044</v>
      </c>
      <c r="I14" s="84">
        <v>58135</v>
      </c>
      <c r="J14" s="84">
        <v>19376.395499999999</v>
      </c>
    </row>
    <row r="15" spans="1:10" ht="15.75">
      <c r="A15" s="83">
        <v>504337</v>
      </c>
      <c r="B15" s="83">
        <v>205592</v>
      </c>
      <c r="C15" s="83" t="s">
        <v>19</v>
      </c>
      <c r="D15" s="83" t="s">
        <v>1595</v>
      </c>
      <c r="E15" s="83" t="s">
        <v>1596</v>
      </c>
      <c r="F15" s="88" t="s">
        <v>46</v>
      </c>
      <c r="G15" s="201">
        <v>43191</v>
      </c>
      <c r="H15" s="201">
        <v>44104</v>
      </c>
      <c r="I15" s="84">
        <v>74230</v>
      </c>
      <c r="J15" s="84">
        <v>24740.859</v>
      </c>
    </row>
    <row r="16" spans="1:10" ht="15.75">
      <c r="A16" s="83">
        <v>504337</v>
      </c>
      <c r="B16" s="83">
        <v>211478</v>
      </c>
      <c r="C16" s="83" t="s">
        <v>19</v>
      </c>
      <c r="D16" s="83" t="s">
        <v>1597</v>
      </c>
      <c r="E16" s="83" t="s">
        <v>1598</v>
      </c>
      <c r="F16" s="88" t="s">
        <v>46</v>
      </c>
      <c r="G16" s="201">
        <v>43191</v>
      </c>
      <c r="H16" s="201">
        <v>44104</v>
      </c>
      <c r="I16" s="84">
        <v>24370</v>
      </c>
      <c r="J16" s="84">
        <v>8122.5209999999997</v>
      </c>
    </row>
    <row r="17" spans="1:10" ht="15.75">
      <c r="A17" s="92">
        <v>504344</v>
      </c>
      <c r="B17" s="83">
        <v>211218</v>
      </c>
      <c r="C17" s="83" t="s">
        <v>19</v>
      </c>
      <c r="D17" s="83" t="s">
        <v>1599</v>
      </c>
      <c r="E17" s="83" t="s">
        <v>1600</v>
      </c>
      <c r="F17" s="87" t="s">
        <v>1277</v>
      </c>
      <c r="G17" s="201">
        <v>43191</v>
      </c>
      <c r="H17" s="201">
        <v>43921</v>
      </c>
      <c r="I17" s="84">
        <v>14227</v>
      </c>
      <c r="J17" s="84">
        <v>4741.8590999999997</v>
      </c>
    </row>
    <row r="18" spans="1:10" ht="15.75">
      <c r="A18" s="92">
        <v>504344</v>
      </c>
      <c r="B18" s="83">
        <v>211456</v>
      </c>
      <c r="C18" s="83" t="s">
        <v>19</v>
      </c>
      <c r="D18" s="83" t="s">
        <v>1601</v>
      </c>
      <c r="E18" s="83" t="s">
        <v>1602</v>
      </c>
      <c r="F18" s="87" t="s">
        <v>1277</v>
      </c>
      <c r="G18" s="201">
        <v>43191</v>
      </c>
      <c r="H18" s="201">
        <v>43921</v>
      </c>
      <c r="I18" s="84">
        <v>85210</v>
      </c>
      <c r="J18" s="84">
        <v>28400.492999999999</v>
      </c>
    </row>
    <row r="19" spans="1:10" ht="15.75">
      <c r="A19" s="96">
        <v>504839</v>
      </c>
      <c r="B19" s="90">
        <v>209210</v>
      </c>
      <c r="C19" s="83" t="s">
        <v>8</v>
      </c>
      <c r="D19" s="90" t="s">
        <v>1603</v>
      </c>
      <c r="E19" s="85" t="s">
        <v>1604</v>
      </c>
      <c r="F19" s="83" t="s">
        <v>68</v>
      </c>
      <c r="G19" s="201">
        <v>43070</v>
      </c>
      <c r="H19" s="201">
        <v>44530</v>
      </c>
      <c r="I19" s="84">
        <v>154500</v>
      </c>
      <c r="J19" s="84">
        <v>51494.85</v>
      </c>
    </row>
    <row r="20" spans="1:10" ht="15.75">
      <c r="A20" s="96">
        <v>504875</v>
      </c>
      <c r="B20" s="90">
        <v>209210</v>
      </c>
      <c r="C20" s="83" t="s">
        <v>8</v>
      </c>
      <c r="D20" s="90" t="s">
        <v>1603</v>
      </c>
      <c r="E20" s="85" t="s">
        <v>1605</v>
      </c>
      <c r="F20" s="83" t="s">
        <v>68</v>
      </c>
      <c r="G20" s="201">
        <v>43070</v>
      </c>
      <c r="H20" s="201">
        <v>44530</v>
      </c>
      <c r="I20" s="84">
        <v>710760</v>
      </c>
      <c r="J20" s="84">
        <v>236896.30799999999</v>
      </c>
    </row>
    <row r="21" spans="1:10" ht="15.75">
      <c r="A21" s="83">
        <v>504878</v>
      </c>
      <c r="B21" s="83">
        <v>209194</v>
      </c>
      <c r="C21" s="83" t="s">
        <v>8</v>
      </c>
      <c r="D21" s="83" t="s">
        <v>1606</v>
      </c>
      <c r="E21" s="85" t="s">
        <v>1607</v>
      </c>
      <c r="F21" s="88" t="s">
        <v>46</v>
      </c>
      <c r="G21" s="201">
        <v>43191</v>
      </c>
      <c r="H21" s="201">
        <v>43921</v>
      </c>
      <c r="I21" s="84">
        <v>55600</v>
      </c>
      <c r="J21" s="84">
        <v>18531.48</v>
      </c>
    </row>
    <row r="22" spans="1:10" ht="15.75">
      <c r="A22" s="96">
        <v>505062</v>
      </c>
      <c r="B22" s="83">
        <v>206247</v>
      </c>
      <c r="C22" s="83" t="s">
        <v>488</v>
      </c>
      <c r="D22" s="83" t="s">
        <v>1608</v>
      </c>
      <c r="E22" s="83" t="s">
        <v>173</v>
      </c>
      <c r="F22" s="88" t="s">
        <v>46</v>
      </c>
      <c r="G22" s="201">
        <v>43191</v>
      </c>
      <c r="H22" s="201">
        <v>43728</v>
      </c>
      <c r="I22" s="84">
        <v>34488.5</v>
      </c>
      <c r="J22" s="84">
        <v>11495.01705</v>
      </c>
    </row>
    <row r="23" spans="1:10" ht="15.75">
      <c r="A23" s="96">
        <v>505082</v>
      </c>
      <c r="B23" s="83">
        <v>212504</v>
      </c>
      <c r="C23" s="83" t="s">
        <v>488</v>
      </c>
      <c r="D23" s="83" t="s">
        <v>1609</v>
      </c>
      <c r="E23" s="83" t="s">
        <v>255</v>
      </c>
      <c r="F23" s="83" t="s">
        <v>68</v>
      </c>
      <c r="G23" s="201">
        <v>43191</v>
      </c>
      <c r="H23" s="201">
        <v>44286</v>
      </c>
      <c r="I23" s="84">
        <v>50000</v>
      </c>
      <c r="J23" s="84">
        <v>16665</v>
      </c>
    </row>
    <row r="24" spans="1:10" ht="15.75">
      <c r="A24" s="96">
        <v>505362</v>
      </c>
      <c r="B24" s="83">
        <v>209346</v>
      </c>
      <c r="C24" s="83" t="s">
        <v>8</v>
      </c>
      <c r="D24" s="83" t="s">
        <v>1610</v>
      </c>
      <c r="E24" s="83" t="s">
        <v>1611</v>
      </c>
      <c r="F24" s="86" t="s">
        <v>53</v>
      </c>
      <c r="G24" s="201">
        <v>43282</v>
      </c>
      <c r="H24" s="201">
        <v>44377</v>
      </c>
      <c r="I24" s="84">
        <v>150000</v>
      </c>
      <c r="J24" s="84">
        <v>49995</v>
      </c>
    </row>
    <row r="25" spans="1:10" ht="15.75">
      <c r="A25" s="96">
        <v>505749</v>
      </c>
      <c r="B25" s="83">
        <v>209403</v>
      </c>
      <c r="C25" s="83" t="s">
        <v>8</v>
      </c>
      <c r="D25" s="83" t="s">
        <v>1612</v>
      </c>
      <c r="E25" s="83" t="s">
        <v>1613</v>
      </c>
      <c r="F25" s="86" t="s">
        <v>53</v>
      </c>
      <c r="G25" s="201">
        <v>43313</v>
      </c>
      <c r="H25" s="201">
        <v>44408</v>
      </c>
      <c r="I25" s="84">
        <v>250000</v>
      </c>
      <c r="J25" s="84">
        <v>83325</v>
      </c>
    </row>
    <row r="26" spans="1:10" ht="15.75">
      <c r="A26" s="96">
        <v>506448</v>
      </c>
      <c r="B26" s="83">
        <v>208217</v>
      </c>
      <c r="C26" s="83" t="s">
        <v>488</v>
      </c>
      <c r="D26" s="83" t="s">
        <v>1614</v>
      </c>
      <c r="E26" s="83" t="s">
        <v>1615</v>
      </c>
      <c r="F26" s="88" t="s">
        <v>46</v>
      </c>
      <c r="G26" s="201">
        <v>43556</v>
      </c>
      <c r="H26" s="201">
        <v>44286</v>
      </c>
      <c r="I26" s="84">
        <v>50000</v>
      </c>
      <c r="J26" s="84">
        <v>16665</v>
      </c>
    </row>
    <row r="27" spans="1:10" ht="15.75">
      <c r="A27" s="96">
        <v>506449</v>
      </c>
      <c r="B27" s="83">
        <v>203820</v>
      </c>
      <c r="C27" s="83" t="s">
        <v>488</v>
      </c>
      <c r="D27" s="83" t="s">
        <v>1591</v>
      </c>
      <c r="E27" s="83" t="s">
        <v>1616</v>
      </c>
      <c r="F27" s="88" t="s">
        <v>46</v>
      </c>
      <c r="G27" s="201">
        <v>43556</v>
      </c>
      <c r="H27" s="201">
        <v>44286</v>
      </c>
      <c r="I27" s="84">
        <v>50000</v>
      </c>
      <c r="J27" s="84">
        <v>16665</v>
      </c>
    </row>
    <row r="28" spans="1:10" ht="15.75">
      <c r="A28" s="96">
        <v>506450</v>
      </c>
      <c r="B28" s="83">
        <v>208620</v>
      </c>
      <c r="C28" s="83" t="s">
        <v>488</v>
      </c>
      <c r="D28" s="83" t="s">
        <v>1579</v>
      </c>
      <c r="E28" s="83" t="s">
        <v>1617</v>
      </c>
      <c r="F28" s="86" t="s">
        <v>82</v>
      </c>
      <c r="G28" s="201">
        <v>43556</v>
      </c>
      <c r="H28" s="201">
        <v>44651</v>
      </c>
      <c r="I28" s="84">
        <v>50000</v>
      </c>
      <c r="J28" s="84">
        <v>16665</v>
      </c>
    </row>
    <row r="29" spans="1:10" ht="15.75">
      <c r="A29" s="96">
        <v>506451</v>
      </c>
      <c r="B29" s="83">
        <v>207233</v>
      </c>
      <c r="C29" s="83" t="s">
        <v>488</v>
      </c>
      <c r="D29" s="83" t="s">
        <v>1618</v>
      </c>
      <c r="E29" s="83" t="s">
        <v>1619</v>
      </c>
      <c r="F29" s="88" t="s">
        <v>46</v>
      </c>
      <c r="G29" s="201">
        <v>43556</v>
      </c>
      <c r="H29" s="201">
        <v>44651</v>
      </c>
      <c r="I29" s="84">
        <v>50000</v>
      </c>
      <c r="J29" s="84">
        <v>16665</v>
      </c>
    </row>
    <row r="30" spans="1:10" ht="15.75">
      <c r="A30" s="83">
        <v>506456</v>
      </c>
      <c r="B30" s="83">
        <v>207032</v>
      </c>
      <c r="C30" s="83" t="s">
        <v>19</v>
      </c>
      <c r="D30" s="83" t="s">
        <v>1620</v>
      </c>
      <c r="E30" s="83" t="s">
        <v>1621</v>
      </c>
      <c r="F30" s="88" t="s">
        <v>46</v>
      </c>
      <c r="G30" s="201">
        <v>43556</v>
      </c>
      <c r="H30" s="201">
        <v>44561</v>
      </c>
      <c r="I30" s="84">
        <v>50000</v>
      </c>
      <c r="J30" s="84">
        <v>16665</v>
      </c>
    </row>
    <row r="31" spans="1:10" ht="15.75">
      <c r="A31" s="83">
        <v>506456</v>
      </c>
      <c r="B31" s="83">
        <v>209438</v>
      </c>
      <c r="C31" s="83" t="s">
        <v>19</v>
      </c>
      <c r="D31" s="83" t="s">
        <v>1622</v>
      </c>
      <c r="E31" s="83" t="s">
        <v>86</v>
      </c>
      <c r="F31" s="88" t="s">
        <v>46</v>
      </c>
      <c r="G31" s="201">
        <v>43556</v>
      </c>
      <c r="H31" s="201">
        <v>44561</v>
      </c>
      <c r="I31" s="84">
        <v>50000</v>
      </c>
      <c r="J31" s="84">
        <v>16665</v>
      </c>
    </row>
    <row r="32" spans="1:10" ht="15.75">
      <c r="A32" s="83">
        <v>506457</v>
      </c>
      <c r="B32" s="83">
        <v>208406</v>
      </c>
      <c r="C32" s="83" t="s">
        <v>19</v>
      </c>
      <c r="D32" s="83" t="s">
        <v>1623</v>
      </c>
      <c r="E32" s="83" t="s">
        <v>1006</v>
      </c>
      <c r="F32" s="83" t="s">
        <v>68</v>
      </c>
      <c r="G32" s="201">
        <v>43556</v>
      </c>
      <c r="H32" s="201">
        <v>44377</v>
      </c>
      <c r="I32" s="84">
        <v>25000</v>
      </c>
      <c r="J32" s="84">
        <v>8332.5</v>
      </c>
    </row>
    <row r="33" spans="1:10" ht="15.75">
      <c r="A33" s="83">
        <v>506457</v>
      </c>
      <c r="B33" s="83">
        <v>212361</v>
      </c>
      <c r="C33" s="83" t="s">
        <v>19</v>
      </c>
      <c r="D33" s="83" t="s">
        <v>1624</v>
      </c>
      <c r="E33" s="83" t="s">
        <v>268</v>
      </c>
      <c r="F33" s="88" t="s">
        <v>46</v>
      </c>
      <c r="G33" s="201">
        <v>43556</v>
      </c>
      <c r="H33" s="201">
        <v>44377</v>
      </c>
      <c r="I33" s="84">
        <v>75000</v>
      </c>
      <c r="J33" s="84">
        <v>24997.5</v>
      </c>
    </row>
    <row r="34" spans="1:10" ht="15.75">
      <c r="A34" s="83">
        <v>506458</v>
      </c>
      <c r="B34" s="83">
        <v>205547</v>
      </c>
      <c r="C34" s="83" t="s">
        <v>19</v>
      </c>
      <c r="D34" s="83" t="s">
        <v>1625</v>
      </c>
      <c r="E34" s="83" t="s">
        <v>96</v>
      </c>
      <c r="F34" s="88" t="s">
        <v>46</v>
      </c>
      <c r="G34" s="201">
        <v>43556</v>
      </c>
      <c r="H34" s="201">
        <v>44377</v>
      </c>
      <c r="I34" s="84">
        <v>26980</v>
      </c>
      <c r="J34" s="84">
        <v>8992.4339999999993</v>
      </c>
    </row>
    <row r="35" spans="1:10" ht="15.75">
      <c r="A35" s="83">
        <v>506458</v>
      </c>
      <c r="B35" s="83">
        <v>212183</v>
      </c>
      <c r="C35" s="83" t="s">
        <v>19</v>
      </c>
      <c r="D35" s="83" t="s">
        <v>1626</v>
      </c>
      <c r="E35" s="83" t="s">
        <v>94</v>
      </c>
      <c r="F35" s="83" t="s">
        <v>68</v>
      </c>
      <c r="G35" s="201">
        <v>43556</v>
      </c>
      <c r="H35" s="201">
        <v>44377</v>
      </c>
      <c r="I35" s="84">
        <v>71385</v>
      </c>
      <c r="J35" s="84">
        <v>23792.620499999997</v>
      </c>
    </row>
    <row r="36" spans="1:10" ht="15.75">
      <c r="A36" s="83">
        <v>506459</v>
      </c>
      <c r="B36" s="83">
        <v>205993</v>
      </c>
      <c r="C36" s="83" t="s">
        <v>19</v>
      </c>
      <c r="D36" s="83" t="s">
        <v>1627</v>
      </c>
      <c r="E36" s="83" t="s">
        <v>854</v>
      </c>
      <c r="F36" s="88" t="s">
        <v>46</v>
      </c>
      <c r="G36" s="201">
        <v>43556</v>
      </c>
      <c r="H36" s="201">
        <v>44377</v>
      </c>
      <c r="I36" s="84">
        <v>36000</v>
      </c>
      <c r="J36" s="84">
        <v>11998.8</v>
      </c>
    </row>
    <row r="37" spans="1:10" ht="15.75">
      <c r="A37" s="83">
        <v>506459</v>
      </c>
      <c r="B37" s="83">
        <v>208379</v>
      </c>
      <c r="C37" s="83" t="s">
        <v>19</v>
      </c>
      <c r="D37" s="83" t="s">
        <v>1628</v>
      </c>
      <c r="E37" s="83" t="s">
        <v>1629</v>
      </c>
      <c r="F37" s="88" t="s">
        <v>46</v>
      </c>
      <c r="G37" s="201">
        <v>43556</v>
      </c>
      <c r="H37" s="201">
        <v>44377</v>
      </c>
      <c r="I37" s="84">
        <v>46500</v>
      </c>
      <c r="J37" s="84">
        <v>15498.449999999999</v>
      </c>
    </row>
    <row r="38" spans="1:10" ht="15.75">
      <c r="A38" s="83">
        <v>506459</v>
      </c>
      <c r="B38" s="83">
        <v>208617</v>
      </c>
      <c r="C38" s="83" t="s">
        <v>19</v>
      </c>
      <c r="D38" s="83" t="s">
        <v>1630</v>
      </c>
      <c r="E38" s="83" t="s">
        <v>1059</v>
      </c>
      <c r="F38" s="83" t="s">
        <v>68</v>
      </c>
      <c r="G38" s="201">
        <v>43556</v>
      </c>
      <c r="H38" s="201">
        <v>44377</v>
      </c>
      <c r="I38" s="84">
        <v>30000</v>
      </c>
      <c r="J38" s="84">
        <v>9999</v>
      </c>
    </row>
    <row r="39" spans="1:10" ht="15.75">
      <c r="A39" s="83">
        <v>506472</v>
      </c>
      <c r="B39" s="83">
        <v>200011</v>
      </c>
      <c r="C39" s="83" t="s">
        <v>19</v>
      </c>
      <c r="D39" s="83" t="s">
        <v>1631</v>
      </c>
      <c r="E39" s="83" t="s">
        <v>625</v>
      </c>
      <c r="F39" s="83" t="s">
        <v>53</v>
      </c>
      <c r="G39" s="201">
        <v>43556</v>
      </c>
      <c r="H39" s="201">
        <v>43921</v>
      </c>
      <c r="I39" s="84">
        <v>41091</v>
      </c>
      <c r="J39" s="84">
        <v>13695.630299999999</v>
      </c>
    </row>
    <row r="40" spans="1:10" ht="15.75">
      <c r="A40" s="83">
        <v>506472</v>
      </c>
      <c r="B40" s="83">
        <v>200612</v>
      </c>
      <c r="C40" s="83" t="s">
        <v>19</v>
      </c>
      <c r="D40" s="83" t="s">
        <v>1632</v>
      </c>
      <c r="E40" s="83" t="s">
        <v>676</v>
      </c>
      <c r="F40" s="83" t="s">
        <v>53</v>
      </c>
      <c r="G40" s="201">
        <v>43556</v>
      </c>
      <c r="H40" s="201">
        <v>43921</v>
      </c>
      <c r="I40" s="84">
        <v>21934</v>
      </c>
      <c r="J40" s="84">
        <v>7310.6021999999994</v>
      </c>
    </row>
    <row r="41" spans="1:10" ht="15.75">
      <c r="A41" s="83">
        <v>506472</v>
      </c>
      <c r="B41" s="83">
        <v>211172</v>
      </c>
      <c r="C41" s="83" t="s">
        <v>19</v>
      </c>
      <c r="D41" s="83" t="s">
        <v>1633</v>
      </c>
      <c r="E41" s="83" t="s">
        <v>1266</v>
      </c>
      <c r="F41" s="88" t="s">
        <v>46</v>
      </c>
      <c r="G41" s="201">
        <v>43556</v>
      </c>
      <c r="H41" s="201">
        <v>43921</v>
      </c>
      <c r="I41" s="84">
        <v>11975</v>
      </c>
      <c r="J41" s="84">
        <v>3991.2674999999999</v>
      </c>
    </row>
    <row r="42" spans="1:10" ht="15.75">
      <c r="A42" s="83">
        <v>506473</v>
      </c>
      <c r="B42" s="83">
        <v>209346</v>
      </c>
      <c r="C42" s="83" t="s">
        <v>19</v>
      </c>
      <c r="D42" s="83" t="s">
        <v>1610</v>
      </c>
      <c r="E42" s="83" t="s">
        <v>130</v>
      </c>
      <c r="F42" s="83" t="s">
        <v>53</v>
      </c>
      <c r="G42" s="201">
        <v>43556</v>
      </c>
      <c r="H42" s="201">
        <v>43921</v>
      </c>
      <c r="I42" s="84">
        <v>75000</v>
      </c>
      <c r="J42" s="84">
        <v>24997.5</v>
      </c>
    </row>
    <row r="43" spans="1:10" ht="15.75">
      <c r="A43" s="83">
        <v>506475</v>
      </c>
      <c r="B43" s="83">
        <v>208636</v>
      </c>
      <c r="C43" s="83" t="s">
        <v>19</v>
      </c>
      <c r="D43" s="83" t="s">
        <v>1634</v>
      </c>
      <c r="E43" s="83" t="s">
        <v>1095</v>
      </c>
      <c r="F43" s="83" t="s">
        <v>75</v>
      </c>
      <c r="G43" s="201">
        <v>43556</v>
      </c>
      <c r="H43" s="201">
        <v>43921</v>
      </c>
      <c r="I43" s="84">
        <v>75000</v>
      </c>
      <c r="J43" s="84">
        <v>24997.5</v>
      </c>
    </row>
    <row r="44" spans="1:10" ht="15.75">
      <c r="A44" s="83">
        <v>506485</v>
      </c>
      <c r="B44" s="83">
        <v>205554</v>
      </c>
      <c r="C44" s="83" t="s">
        <v>341</v>
      </c>
      <c r="D44" s="83" t="s">
        <v>1584</v>
      </c>
      <c r="E44" s="83" t="s">
        <v>824</v>
      </c>
      <c r="F44" s="86" t="s">
        <v>46</v>
      </c>
      <c r="G44" s="201">
        <v>43466</v>
      </c>
      <c r="H44" s="201">
        <v>44347</v>
      </c>
      <c r="I44" s="84">
        <v>10000</v>
      </c>
      <c r="J44" s="84">
        <v>3333</v>
      </c>
    </row>
    <row r="45" spans="1:10" ht="15.75">
      <c r="A45" s="83">
        <v>506485</v>
      </c>
      <c r="B45" s="83">
        <v>209461</v>
      </c>
      <c r="C45" s="83" t="s">
        <v>341</v>
      </c>
      <c r="D45" s="83" t="s">
        <v>1635</v>
      </c>
      <c r="E45" s="83" t="s">
        <v>1201</v>
      </c>
      <c r="F45" s="86" t="s">
        <v>53</v>
      </c>
      <c r="G45" s="201">
        <v>43466</v>
      </c>
      <c r="H45" s="201">
        <v>44347</v>
      </c>
      <c r="I45" s="84">
        <v>15000</v>
      </c>
      <c r="J45" s="84">
        <v>4999.5</v>
      </c>
    </row>
    <row r="46" spans="1:10" ht="15.75">
      <c r="A46" s="83">
        <v>506682</v>
      </c>
      <c r="B46" s="83">
        <v>213061</v>
      </c>
      <c r="C46" s="83" t="s">
        <v>19</v>
      </c>
      <c r="D46" s="83" t="s">
        <v>1636</v>
      </c>
      <c r="E46" s="83" t="s">
        <v>1637</v>
      </c>
      <c r="F46" s="86" t="s">
        <v>82</v>
      </c>
      <c r="G46" s="201">
        <v>43556</v>
      </c>
      <c r="H46" s="201">
        <v>43921</v>
      </c>
      <c r="I46" s="84">
        <v>75000</v>
      </c>
      <c r="J46" s="84">
        <v>24997.5</v>
      </c>
    </row>
    <row r="47" spans="1:10" ht="15.75">
      <c r="A47" s="83">
        <v>506754</v>
      </c>
      <c r="B47" s="83">
        <v>203770</v>
      </c>
      <c r="C47" s="83" t="s">
        <v>19</v>
      </c>
      <c r="D47" s="83" t="s">
        <v>1582</v>
      </c>
      <c r="E47" s="83" t="s">
        <v>258</v>
      </c>
      <c r="F47" s="83" t="s">
        <v>260</v>
      </c>
      <c r="G47" s="201">
        <v>43556</v>
      </c>
      <c r="H47" s="201">
        <v>43921</v>
      </c>
      <c r="I47" s="84">
        <v>37500</v>
      </c>
      <c r="J47" s="84">
        <v>12498.75</v>
      </c>
    </row>
    <row r="48" spans="1:10" ht="15.75">
      <c r="A48" s="83">
        <v>506754</v>
      </c>
      <c r="B48" s="83">
        <v>207378</v>
      </c>
      <c r="C48" s="83" t="s">
        <v>19</v>
      </c>
      <c r="D48" s="83" t="s">
        <v>1638</v>
      </c>
      <c r="E48" s="83" t="s">
        <v>1639</v>
      </c>
      <c r="F48" s="88" t="s">
        <v>46</v>
      </c>
      <c r="G48" s="201">
        <v>43556</v>
      </c>
      <c r="H48" s="201">
        <v>43921</v>
      </c>
      <c r="I48" s="84">
        <v>37500</v>
      </c>
      <c r="J48" s="84">
        <v>12498.75</v>
      </c>
    </row>
    <row r="49" spans="1:10" ht="15.75">
      <c r="A49" s="83">
        <v>507637</v>
      </c>
      <c r="B49" s="83">
        <v>206014</v>
      </c>
      <c r="C49" s="83" t="s">
        <v>353</v>
      </c>
      <c r="D49" s="83" t="s">
        <v>1640</v>
      </c>
      <c r="E49" s="83" t="s">
        <v>354</v>
      </c>
      <c r="F49" s="88" t="s">
        <v>46</v>
      </c>
      <c r="G49" s="201">
        <v>43709</v>
      </c>
      <c r="H49" s="201">
        <v>44530</v>
      </c>
      <c r="I49" s="84">
        <v>40800</v>
      </c>
      <c r="J49" s="84">
        <v>13598.64</v>
      </c>
    </row>
    <row r="50" spans="1:10" ht="15.75">
      <c r="A50" s="83">
        <v>507637</v>
      </c>
      <c r="B50" s="83">
        <v>207636</v>
      </c>
      <c r="C50" s="83" t="s">
        <v>353</v>
      </c>
      <c r="D50" s="83" t="s">
        <v>1641</v>
      </c>
      <c r="E50" s="83" t="s">
        <v>1642</v>
      </c>
      <c r="F50" s="88" t="s">
        <v>46</v>
      </c>
      <c r="G50" s="201">
        <v>43709</v>
      </c>
      <c r="H50" s="201">
        <v>44530</v>
      </c>
      <c r="I50" s="84">
        <v>85000</v>
      </c>
      <c r="J50" s="84">
        <v>28330.5</v>
      </c>
    </row>
    <row r="51" spans="1:10" ht="15.75">
      <c r="A51" s="83">
        <v>507637</v>
      </c>
      <c r="B51" s="83">
        <v>208625</v>
      </c>
      <c r="C51" s="83" t="s">
        <v>353</v>
      </c>
      <c r="D51" s="83" t="s">
        <v>1643</v>
      </c>
      <c r="E51" s="83" t="s">
        <v>366</v>
      </c>
      <c r="F51" s="86" t="s">
        <v>53</v>
      </c>
      <c r="G51" s="201">
        <v>43709</v>
      </c>
      <c r="H51" s="201">
        <v>44530</v>
      </c>
      <c r="I51" s="84">
        <v>63750</v>
      </c>
      <c r="J51" s="84">
        <v>21247.875</v>
      </c>
    </row>
    <row r="52" spans="1:10" ht="15.75">
      <c r="A52" s="83">
        <v>507637</v>
      </c>
      <c r="B52" s="83">
        <v>208728</v>
      </c>
      <c r="C52" s="83" t="s">
        <v>353</v>
      </c>
      <c r="D52" s="83" t="s">
        <v>1644</v>
      </c>
      <c r="E52" s="83" t="s">
        <v>1645</v>
      </c>
      <c r="F52" s="86" t="s">
        <v>53</v>
      </c>
      <c r="G52" s="201">
        <v>43709</v>
      </c>
      <c r="H52" s="201">
        <v>44530</v>
      </c>
      <c r="I52" s="84">
        <v>378100</v>
      </c>
      <c r="J52" s="84">
        <v>126020.73</v>
      </c>
    </row>
    <row r="53" spans="1:10" ht="15.75">
      <c r="A53" s="83">
        <v>507637</v>
      </c>
      <c r="B53" s="83">
        <v>209491</v>
      </c>
      <c r="C53" s="83" t="s">
        <v>353</v>
      </c>
      <c r="D53" s="83" t="s">
        <v>1646</v>
      </c>
      <c r="E53" s="83" t="s">
        <v>1647</v>
      </c>
      <c r="F53" s="86" t="s">
        <v>75</v>
      </c>
      <c r="G53" s="201">
        <v>43709</v>
      </c>
      <c r="H53" s="201">
        <v>44530</v>
      </c>
      <c r="I53" s="84">
        <v>153000</v>
      </c>
      <c r="J53" s="84">
        <v>50994.899999999994</v>
      </c>
    </row>
    <row r="54" spans="1:10" ht="15.75">
      <c r="A54" s="83">
        <v>507637</v>
      </c>
      <c r="B54" s="83">
        <v>209660</v>
      </c>
      <c r="C54" s="83" t="s">
        <v>353</v>
      </c>
      <c r="D54" s="83" t="s">
        <v>1648</v>
      </c>
      <c r="E54" s="83" t="s">
        <v>360</v>
      </c>
      <c r="F54" s="86" t="s">
        <v>68</v>
      </c>
      <c r="G54" s="201">
        <v>43709</v>
      </c>
      <c r="H54" s="201">
        <v>44530</v>
      </c>
      <c r="I54" s="84">
        <v>74800</v>
      </c>
      <c r="J54" s="84">
        <v>24930.84</v>
      </c>
    </row>
    <row r="55" spans="1:10" ht="15.75">
      <c r="A55" s="83">
        <v>507637</v>
      </c>
      <c r="B55" s="83">
        <v>211152</v>
      </c>
      <c r="C55" s="83" t="s">
        <v>353</v>
      </c>
      <c r="D55" s="83" t="s">
        <v>1649</v>
      </c>
      <c r="E55" s="83" t="s">
        <v>364</v>
      </c>
      <c r="F55" s="88" t="s">
        <v>46</v>
      </c>
      <c r="G55" s="201">
        <v>43709</v>
      </c>
      <c r="H55" s="201">
        <v>44530</v>
      </c>
      <c r="I55" s="84">
        <v>40800</v>
      </c>
      <c r="J55" s="84">
        <v>13598.64</v>
      </c>
    </row>
    <row r="56" spans="1:10" ht="15.75">
      <c r="A56" s="83">
        <v>507637</v>
      </c>
      <c r="B56" s="83">
        <v>212636</v>
      </c>
      <c r="C56" s="83" t="s">
        <v>353</v>
      </c>
      <c r="D56" s="83" t="s">
        <v>1650</v>
      </c>
      <c r="E56" s="83" t="s">
        <v>356</v>
      </c>
      <c r="F56" s="86" t="s">
        <v>53</v>
      </c>
      <c r="G56" s="201">
        <v>43709</v>
      </c>
      <c r="H56" s="201">
        <v>44530</v>
      </c>
      <c r="I56" s="84">
        <v>63750</v>
      </c>
      <c r="J56" s="84">
        <v>21247.875</v>
      </c>
    </row>
    <row r="57" spans="1:10" ht="15.75">
      <c r="A57" s="83">
        <v>507638</v>
      </c>
      <c r="B57" s="83">
        <v>203770</v>
      </c>
      <c r="C57" s="83" t="s">
        <v>353</v>
      </c>
      <c r="D57" s="83" t="s">
        <v>1582</v>
      </c>
      <c r="E57" s="83" t="s">
        <v>374</v>
      </c>
      <c r="F57" s="86" t="s">
        <v>260</v>
      </c>
      <c r="G57" s="201">
        <v>43709</v>
      </c>
      <c r="H57" s="201">
        <v>44530</v>
      </c>
      <c r="I57" s="84">
        <v>40000</v>
      </c>
      <c r="J57" s="84">
        <v>13332</v>
      </c>
    </row>
    <row r="58" spans="1:10" ht="15.75">
      <c r="A58" s="83">
        <v>507638</v>
      </c>
      <c r="B58" s="83">
        <v>203820</v>
      </c>
      <c r="C58" s="83" t="s">
        <v>353</v>
      </c>
      <c r="D58" s="83" t="s">
        <v>1591</v>
      </c>
      <c r="E58" s="83" t="s">
        <v>369</v>
      </c>
      <c r="F58" s="88" t="s">
        <v>46</v>
      </c>
      <c r="G58" s="201">
        <v>43709</v>
      </c>
      <c r="H58" s="201">
        <v>44530</v>
      </c>
      <c r="I58" s="84">
        <v>30000</v>
      </c>
      <c r="J58" s="84">
        <v>9999</v>
      </c>
    </row>
    <row r="59" spans="1:10" ht="15.75">
      <c r="A59" s="83">
        <v>507638</v>
      </c>
      <c r="B59" s="83">
        <v>206595</v>
      </c>
      <c r="C59" s="83" t="s">
        <v>353</v>
      </c>
      <c r="D59" s="83" t="s">
        <v>1651</v>
      </c>
      <c r="E59" s="83" t="s">
        <v>368</v>
      </c>
      <c r="F59" s="88" t="s">
        <v>46</v>
      </c>
      <c r="G59" s="201">
        <v>43709</v>
      </c>
      <c r="H59" s="201">
        <v>44530</v>
      </c>
      <c r="I59" s="84">
        <v>133750</v>
      </c>
      <c r="J59" s="84">
        <v>44578.875</v>
      </c>
    </row>
    <row r="60" spans="1:10" ht="15.75">
      <c r="A60" s="83">
        <v>507638</v>
      </c>
      <c r="B60" s="83">
        <v>207233</v>
      </c>
      <c r="C60" s="83" t="s">
        <v>353</v>
      </c>
      <c r="D60" s="83" t="s">
        <v>1618</v>
      </c>
      <c r="E60" s="83" t="s">
        <v>373</v>
      </c>
      <c r="F60" s="88" t="s">
        <v>46</v>
      </c>
      <c r="G60" s="201">
        <v>43709</v>
      </c>
      <c r="H60" s="201">
        <v>44530</v>
      </c>
      <c r="I60" s="84">
        <v>133500</v>
      </c>
      <c r="J60" s="84">
        <v>44495.549999999996</v>
      </c>
    </row>
    <row r="61" spans="1:10" ht="15.75">
      <c r="A61" s="83">
        <v>507638</v>
      </c>
      <c r="B61" s="83">
        <v>207444</v>
      </c>
      <c r="C61" s="83" t="s">
        <v>353</v>
      </c>
      <c r="D61" s="83" t="s">
        <v>1652</v>
      </c>
      <c r="E61" s="83" t="s">
        <v>1653</v>
      </c>
      <c r="F61" s="88" t="s">
        <v>46</v>
      </c>
      <c r="G61" s="201">
        <v>43709</v>
      </c>
      <c r="H61" s="201">
        <v>44530</v>
      </c>
      <c r="I61" s="84">
        <v>100000</v>
      </c>
      <c r="J61" s="84">
        <v>33330</v>
      </c>
    </row>
    <row r="62" spans="1:10" ht="15.75">
      <c r="A62" s="83">
        <v>507638</v>
      </c>
      <c r="B62" s="83">
        <v>209210</v>
      </c>
      <c r="C62" s="83" t="s">
        <v>353</v>
      </c>
      <c r="D62" s="83" t="s">
        <v>1603</v>
      </c>
      <c r="E62" s="83" t="s">
        <v>1654</v>
      </c>
      <c r="F62" s="86" t="s">
        <v>68</v>
      </c>
      <c r="G62" s="201">
        <v>43709</v>
      </c>
      <c r="H62" s="201">
        <v>44530</v>
      </c>
      <c r="I62" s="84">
        <v>58000</v>
      </c>
      <c r="J62" s="84">
        <v>19331.399999999998</v>
      </c>
    </row>
    <row r="63" spans="1:10" ht="15.75">
      <c r="A63" s="83">
        <v>507638</v>
      </c>
      <c r="B63" s="83">
        <v>211256</v>
      </c>
      <c r="C63" s="83" t="s">
        <v>353</v>
      </c>
      <c r="D63" s="83" t="s">
        <v>1655</v>
      </c>
      <c r="E63" s="83" t="s">
        <v>370</v>
      </c>
      <c r="F63" s="86" t="s">
        <v>68</v>
      </c>
      <c r="G63" s="201">
        <v>43709</v>
      </c>
      <c r="H63" s="201">
        <v>44530</v>
      </c>
      <c r="I63" s="84">
        <v>135000</v>
      </c>
      <c r="J63" s="84">
        <v>44995.5</v>
      </c>
    </row>
    <row r="64" spans="1:10" ht="15.75">
      <c r="A64" s="83">
        <v>507638</v>
      </c>
      <c r="B64" s="83">
        <v>211963</v>
      </c>
      <c r="C64" s="83" t="s">
        <v>353</v>
      </c>
      <c r="D64" s="83" t="s">
        <v>1656</v>
      </c>
      <c r="E64" s="83" t="s">
        <v>372</v>
      </c>
      <c r="F64" s="88" t="s">
        <v>46</v>
      </c>
      <c r="G64" s="201">
        <v>43709</v>
      </c>
      <c r="H64" s="201">
        <v>44530</v>
      </c>
      <c r="I64" s="84">
        <v>133500</v>
      </c>
      <c r="J64" s="84">
        <v>44495.549999999996</v>
      </c>
    </row>
    <row r="65" spans="1:10" ht="15.75">
      <c r="A65" s="83">
        <v>507638</v>
      </c>
      <c r="B65" s="83">
        <v>212504</v>
      </c>
      <c r="C65" s="83" t="s">
        <v>353</v>
      </c>
      <c r="D65" s="83" t="s">
        <v>1609</v>
      </c>
      <c r="E65" s="83" t="s">
        <v>371</v>
      </c>
      <c r="F65" s="86" t="s">
        <v>68</v>
      </c>
      <c r="G65" s="201">
        <v>43709</v>
      </c>
      <c r="H65" s="201">
        <v>44530</v>
      </c>
      <c r="I65" s="84">
        <v>133000</v>
      </c>
      <c r="J65" s="84">
        <v>44328.9</v>
      </c>
    </row>
    <row r="66" spans="1:10" ht="15.75">
      <c r="A66" s="83">
        <v>507639</v>
      </c>
      <c r="B66" s="83">
        <v>205839</v>
      </c>
      <c r="C66" s="83" t="s">
        <v>353</v>
      </c>
      <c r="D66" s="83" t="s">
        <v>1586</v>
      </c>
      <c r="E66" s="83" t="s">
        <v>492</v>
      </c>
      <c r="F66" s="88" t="s">
        <v>46</v>
      </c>
      <c r="G66" s="201">
        <v>43709</v>
      </c>
      <c r="H66" s="201">
        <v>44530</v>
      </c>
      <c r="I66" s="84">
        <v>40000</v>
      </c>
      <c r="J66" s="84">
        <v>13332</v>
      </c>
    </row>
    <row r="67" spans="1:10" ht="15.75">
      <c r="A67" s="83">
        <v>507639</v>
      </c>
      <c r="B67" s="83">
        <v>206147</v>
      </c>
      <c r="C67" s="83" t="s">
        <v>353</v>
      </c>
      <c r="D67" s="83" t="s">
        <v>1657</v>
      </c>
      <c r="E67" s="83" t="s">
        <v>381</v>
      </c>
      <c r="F67" s="88" t="s">
        <v>46</v>
      </c>
      <c r="G67" s="201">
        <v>43709</v>
      </c>
      <c r="H67" s="201">
        <v>44530</v>
      </c>
      <c r="I67" s="84">
        <v>240000</v>
      </c>
      <c r="J67" s="84">
        <v>79992</v>
      </c>
    </row>
    <row r="68" spans="1:10" ht="15.75">
      <c r="A68" s="83">
        <v>507639</v>
      </c>
      <c r="B68" s="83">
        <v>206205</v>
      </c>
      <c r="C68" s="83" t="s">
        <v>353</v>
      </c>
      <c r="D68" s="83" t="s">
        <v>1658</v>
      </c>
      <c r="E68" s="83" t="s">
        <v>378</v>
      </c>
      <c r="F68" s="88" t="s">
        <v>46</v>
      </c>
      <c r="G68" s="201">
        <v>43709</v>
      </c>
      <c r="H68" s="201">
        <v>44530</v>
      </c>
      <c r="I68" s="84">
        <v>240000</v>
      </c>
      <c r="J68" s="84">
        <v>79992</v>
      </c>
    </row>
    <row r="69" spans="1:10" ht="15.75">
      <c r="A69" s="83">
        <v>507639</v>
      </c>
      <c r="B69" s="83">
        <v>206595</v>
      </c>
      <c r="C69" s="83" t="s">
        <v>353</v>
      </c>
      <c r="D69" s="83" t="s">
        <v>1651</v>
      </c>
      <c r="E69" s="83" t="s">
        <v>368</v>
      </c>
      <c r="F69" s="88" t="s">
        <v>46</v>
      </c>
      <c r="G69" s="201">
        <v>43709</v>
      </c>
      <c r="H69" s="201">
        <v>44530</v>
      </c>
      <c r="I69" s="84">
        <v>40000</v>
      </c>
      <c r="J69" s="84">
        <v>13332</v>
      </c>
    </row>
    <row r="70" spans="1:10" ht="15.75">
      <c r="A70" s="83">
        <v>507639</v>
      </c>
      <c r="B70" s="83">
        <v>208379</v>
      </c>
      <c r="C70" s="83" t="s">
        <v>353</v>
      </c>
      <c r="D70" s="83" t="s">
        <v>1628</v>
      </c>
      <c r="E70" s="83" t="s">
        <v>350</v>
      </c>
      <c r="F70" s="88" t="s">
        <v>46</v>
      </c>
      <c r="G70" s="201">
        <v>43709</v>
      </c>
      <c r="H70" s="201">
        <v>44530</v>
      </c>
      <c r="I70" s="84">
        <v>80000</v>
      </c>
      <c r="J70" s="84">
        <v>26664</v>
      </c>
    </row>
    <row r="71" spans="1:10" ht="15.75">
      <c r="A71" s="83">
        <v>507639</v>
      </c>
      <c r="B71" s="83">
        <v>210174</v>
      </c>
      <c r="C71" s="83" t="s">
        <v>353</v>
      </c>
      <c r="D71" s="83" t="s">
        <v>1659</v>
      </c>
      <c r="E71" s="83" t="s">
        <v>377</v>
      </c>
      <c r="F71" s="88" t="s">
        <v>46</v>
      </c>
      <c r="G71" s="201">
        <v>43709</v>
      </c>
      <c r="H71" s="201">
        <v>44530</v>
      </c>
      <c r="I71" s="84">
        <v>80000</v>
      </c>
      <c r="J71" s="84">
        <v>26664</v>
      </c>
    </row>
    <row r="72" spans="1:10" ht="15.75">
      <c r="A72" s="83">
        <v>507639</v>
      </c>
      <c r="B72" s="83">
        <v>212065</v>
      </c>
      <c r="C72" s="83" t="s">
        <v>353</v>
      </c>
      <c r="D72" s="83" t="s">
        <v>1660</v>
      </c>
      <c r="E72" s="83" t="s">
        <v>380</v>
      </c>
      <c r="F72" s="88" t="s">
        <v>46</v>
      </c>
      <c r="G72" s="201">
        <v>43709</v>
      </c>
      <c r="H72" s="201">
        <v>44530</v>
      </c>
      <c r="I72" s="84">
        <v>240000</v>
      </c>
      <c r="J72" s="84">
        <v>79992</v>
      </c>
    </row>
    <row r="73" spans="1:10" ht="15.75">
      <c r="A73" s="83">
        <v>507639</v>
      </c>
      <c r="B73" s="83">
        <v>212361</v>
      </c>
      <c r="C73" s="83" t="s">
        <v>353</v>
      </c>
      <c r="D73" s="83" t="s">
        <v>1624</v>
      </c>
      <c r="E73" s="83" t="s">
        <v>379</v>
      </c>
      <c r="F73" s="88" t="s">
        <v>46</v>
      </c>
      <c r="G73" s="201">
        <v>43709</v>
      </c>
      <c r="H73" s="201">
        <v>44530</v>
      </c>
      <c r="I73" s="84">
        <v>240000</v>
      </c>
      <c r="J73" s="84">
        <v>79992</v>
      </c>
    </row>
    <row r="74" spans="1:10" ht="15.75">
      <c r="A74" s="83">
        <v>507641</v>
      </c>
      <c r="B74" s="83">
        <v>203173</v>
      </c>
      <c r="C74" s="83" t="s">
        <v>353</v>
      </c>
      <c r="D74" s="83" t="s">
        <v>1661</v>
      </c>
      <c r="E74" s="83" t="s">
        <v>385</v>
      </c>
      <c r="F74" s="86" t="s">
        <v>75</v>
      </c>
      <c r="G74" s="201">
        <v>43709</v>
      </c>
      <c r="H74" s="201">
        <v>44530</v>
      </c>
      <c r="I74" s="84">
        <v>61955</v>
      </c>
      <c r="J74" s="84">
        <v>20649.601500000001</v>
      </c>
    </row>
    <row r="75" spans="1:10" ht="15.75">
      <c r="A75" s="83">
        <v>507641</v>
      </c>
      <c r="B75" s="83">
        <v>203820</v>
      </c>
      <c r="C75" s="83" t="s">
        <v>353</v>
      </c>
      <c r="D75" s="83" t="s">
        <v>1591</v>
      </c>
      <c r="E75" s="83" t="s">
        <v>369</v>
      </c>
      <c r="F75" s="88" t="s">
        <v>46</v>
      </c>
      <c r="G75" s="201">
        <v>43709</v>
      </c>
      <c r="H75" s="201">
        <v>44530</v>
      </c>
      <c r="I75" s="84">
        <v>106415</v>
      </c>
      <c r="J75" s="84">
        <v>35468.119500000001</v>
      </c>
    </row>
    <row r="76" spans="1:10" ht="15.75">
      <c r="A76" s="83">
        <v>507641</v>
      </c>
      <c r="B76" s="83">
        <v>205592</v>
      </c>
      <c r="C76" s="83" t="s">
        <v>353</v>
      </c>
      <c r="D76" s="83" t="s">
        <v>1595</v>
      </c>
      <c r="E76" s="83" t="s">
        <v>389</v>
      </c>
      <c r="F76" s="88" t="s">
        <v>46</v>
      </c>
      <c r="G76" s="201">
        <v>43709</v>
      </c>
      <c r="H76" s="201">
        <v>44530</v>
      </c>
      <c r="I76" s="84">
        <v>32000</v>
      </c>
      <c r="J76" s="84">
        <v>10665.6</v>
      </c>
    </row>
    <row r="77" spans="1:10" ht="15.75">
      <c r="A77" s="83">
        <v>507641</v>
      </c>
      <c r="B77" s="83">
        <v>208897</v>
      </c>
      <c r="C77" s="83" t="s">
        <v>353</v>
      </c>
      <c r="D77" s="83" t="s">
        <v>1593</v>
      </c>
      <c r="E77" s="83" t="s">
        <v>387</v>
      </c>
      <c r="F77" s="88" t="s">
        <v>46</v>
      </c>
      <c r="G77" s="201">
        <v>43709</v>
      </c>
      <c r="H77" s="201">
        <v>44530</v>
      </c>
      <c r="I77" s="84">
        <v>73925</v>
      </c>
      <c r="J77" s="84">
        <v>24639.202499999999</v>
      </c>
    </row>
    <row r="78" spans="1:10" ht="15.75">
      <c r="A78" s="83">
        <v>507641</v>
      </c>
      <c r="B78" s="83">
        <v>208934</v>
      </c>
      <c r="C78" s="83" t="s">
        <v>353</v>
      </c>
      <c r="D78" s="83" t="s">
        <v>1662</v>
      </c>
      <c r="E78" s="83" t="s">
        <v>1663</v>
      </c>
      <c r="F78" s="86" t="s">
        <v>75</v>
      </c>
      <c r="G78" s="201">
        <v>43709</v>
      </c>
      <c r="H78" s="201">
        <v>44530</v>
      </c>
      <c r="I78" s="84">
        <v>58717</v>
      </c>
      <c r="J78" s="84">
        <v>19570.376099999998</v>
      </c>
    </row>
    <row r="79" spans="1:10" ht="15.75">
      <c r="A79" s="83">
        <v>507642</v>
      </c>
      <c r="B79" s="83">
        <v>200150</v>
      </c>
      <c r="C79" s="83" t="s">
        <v>353</v>
      </c>
      <c r="D79" s="83" t="s">
        <v>1664</v>
      </c>
      <c r="E79" s="83" t="s">
        <v>393</v>
      </c>
      <c r="F79" s="86" t="s">
        <v>53</v>
      </c>
      <c r="G79" s="201">
        <v>43709</v>
      </c>
      <c r="H79" s="201">
        <v>44530</v>
      </c>
      <c r="I79" s="84">
        <v>90000</v>
      </c>
      <c r="J79" s="84">
        <v>29997</v>
      </c>
    </row>
    <row r="80" spans="1:10" ht="15.75">
      <c r="A80" s="83">
        <v>507642</v>
      </c>
      <c r="B80" s="83">
        <v>208607</v>
      </c>
      <c r="C80" s="83" t="s">
        <v>353</v>
      </c>
      <c r="D80" s="83" t="s">
        <v>1665</v>
      </c>
      <c r="E80" s="83" t="s">
        <v>391</v>
      </c>
      <c r="F80" s="86" t="s">
        <v>53</v>
      </c>
      <c r="G80" s="201">
        <v>43709</v>
      </c>
      <c r="H80" s="201">
        <v>44530</v>
      </c>
      <c r="I80" s="84">
        <v>100000</v>
      </c>
      <c r="J80" s="84">
        <v>33330</v>
      </c>
    </row>
    <row r="81" spans="1:10" ht="15.75">
      <c r="A81" s="83">
        <v>507642</v>
      </c>
      <c r="B81" s="83">
        <v>212714</v>
      </c>
      <c r="C81" s="83" t="s">
        <v>353</v>
      </c>
      <c r="D81" s="83" t="s">
        <v>1666</v>
      </c>
      <c r="E81" s="83" t="s">
        <v>392</v>
      </c>
      <c r="F81" s="86" t="s">
        <v>53</v>
      </c>
      <c r="G81" s="201">
        <v>43709</v>
      </c>
      <c r="H81" s="201">
        <v>44530</v>
      </c>
      <c r="I81" s="84">
        <v>90000</v>
      </c>
      <c r="J81" s="84">
        <v>29997</v>
      </c>
    </row>
    <row r="82" spans="1:10" ht="15.75">
      <c r="A82" s="83">
        <v>507643</v>
      </c>
      <c r="B82" s="83">
        <v>201921</v>
      </c>
      <c r="C82" s="83" t="s">
        <v>353</v>
      </c>
      <c r="D82" s="83" t="s">
        <v>1667</v>
      </c>
      <c r="E82" s="83" t="s">
        <v>397</v>
      </c>
      <c r="F82" s="88" t="s">
        <v>46</v>
      </c>
      <c r="G82" s="201">
        <v>43709</v>
      </c>
      <c r="H82" s="201">
        <v>44530</v>
      </c>
      <c r="I82" s="84">
        <v>80000</v>
      </c>
      <c r="J82" s="84">
        <v>26664</v>
      </c>
    </row>
    <row r="83" spans="1:10" ht="15.75">
      <c r="A83" s="83">
        <v>507643</v>
      </c>
      <c r="B83" s="83">
        <v>208489</v>
      </c>
      <c r="C83" s="83" t="s">
        <v>353</v>
      </c>
      <c r="D83" s="83" t="s">
        <v>1668</v>
      </c>
      <c r="E83" s="83" t="s">
        <v>395</v>
      </c>
      <c r="F83" s="86" t="s">
        <v>68</v>
      </c>
      <c r="G83" s="201">
        <v>43709</v>
      </c>
      <c r="H83" s="201">
        <v>44530</v>
      </c>
      <c r="I83" s="84">
        <v>72000</v>
      </c>
      <c r="J83" s="84">
        <v>23997.599999999999</v>
      </c>
    </row>
    <row r="84" spans="1:10" ht="15.75">
      <c r="A84" s="83">
        <v>507643</v>
      </c>
      <c r="B84" s="83">
        <v>208810</v>
      </c>
      <c r="C84" s="83" t="s">
        <v>353</v>
      </c>
      <c r="D84" s="83" t="s">
        <v>1575</v>
      </c>
      <c r="E84" s="83" t="s">
        <v>398</v>
      </c>
      <c r="F84" s="86" t="s">
        <v>53</v>
      </c>
      <c r="G84" s="201">
        <v>43709</v>
      </c>
      <c r="H84" s="201">
        <v>44530</v>
      </c>
      <c r="I84" s="84">
        <v>100000</v>
      </c>
      <c r="J84" s="84">
        <v>33330</v>
      </c>
    </row>
    <row r="85" spans="1:10" ht="15.75">
      <c r="A85" s="83">
        <v>507643</v>
      </c>
      <c r="B85" s="83">
        <v>211134</v>
      </c>
      <c r="C85" s="83" t="s">
        <v>353</v>
      </c>
      <c r="D85" s="83" t="s">
        <v>1669</v>
      </c>
      <c r="E85" s="83" t="s">
        <v>394</v>
      </c>
      <c r="F85" s="88" t="s">
        <v>46</v>
      </c>
      <c r="G85" s="201">
        <v>43709</v>
      </c>
      <c r="H85" s="201">
        <v>44530</v>
      </c>
      <c r="I85" s="84">
        <v>80000</v>
      </c>
      <c r="J85" s="84">
        <v>26664</v>
      </c>
    </row>
    <row r="86" spans="1:10" ht="15.75">
      <c r="A86" s="83">
        <v>507693</v>
      </c>
      <c r="B86" s="83">
        <v>201921</v>
      </c>
      <c r="C86" s="83" t="s">
        <v>353</v>
      </c>
      <c r="D86" s="83" t="s">
        <v>1667</v>
      </c>
      <c r="E86" s="83" t="s">
        <v>397</v>
      </c>
      <c r="F86" s="88" t="s">
        <v>46</v>
      </c>
      <c r="G86" s="201">
        <v>43709</v>
      </c>
      <c r="H86" s="201">
        <v>44530</v>
      </c>
      <c r="I86" s="84">
        <v>66900</v>
      </c>
      <c r="J86" s="84">
        <v>22297.77</v>
      </c>
    </row>
    <row r="87" spans="1:10" ht="15.75">
      <c r="A87" s="83">
        <v>507693</v>
      </c>
      <c r="B87" s="83">
        <v>206130</v>
      </c>
      <c r="C87" s="83" t="s">
        <v>353</v>
      </c>
      <c r="D87" s="83" t="s">
        <v>1670</v>
      </c>
      <c r="E87" s="83" t="s">
        <v>400</v>
      </c>
      <c r="F87" s="88" t="s">
        <v>46</v>
      </c>
      <c r="G87" s="201">
        <v>43709</v>
      </c>
      <c r="H87" s="201">
        <v>44530</v>
      </c>
      <c r="I87" s="84">
        <v>100350</v>
      </c>
      <c r="J87" s="84">
        <v>33446.654999999999</v>
      </c>
    </row>
    <row r="88" spans="1:10" ht="15.75">
      <c r="A88" s="83">
        <v>507693</v>
      </c>
      <c r="B88" s="83">
        <v>209184</v>
      </c>
      <c r="C88" s="83" t="s">
        <v>353</v>
      </c>
      <c r="D88" s="83" t="s">
        <v>1671</v>
      </c>
      <c r="E88" s="83" t="s">
        <v>411</v>
      </c>
      <c r="F88" s="86" t="s">
        <v>53</v>
      </c>
      <c r="G88" s="201">
        <v>43709</v>
      </c>
      <c r="H88" s="201">
        <v>44530</v>
      </c>
      <c r="I88" s="84">
        <v>108000</v>
      </c>
      <c r="J88" s="84">
        <v>35996.400000000001</v>
      </c>
    </row>
    <row r="89" spans="1:10" ht="15.75">
      <c r="A89" s="83">
        <v>507693</v>
      </c>
      <c r="B89" s="89">
        <v>209766</v>
      </c>
      <c r="C89" s="83" t="s">
        <v>353</v>
      </c>
      <c r="D89" s="89" t="s">
        <v>1672</v>
      </c>
      <c r="E89" s="83" t="s">
        <v>1673</v>
      </c>
      <c r="F89" s="86" t="s">
        <v>53</v>
      </c>
      <c r="G89" s="201">
        <v>43709</v>
      </c>
      <c r="H89" s="201">
        <v>44530</v>
      </c>
      <c r="I89" s="84">
        <v>108123</v>
      </c>
      <c r="J89" s="84">
        <v>36037.395899999996</v>
      </c>
    </row>
    <row r="90" spans="1:10" ht="15.75">
      <c r="A90" s="83">
        <v>507693</v>
      </c>
      <c r="B90" s="83">
        <v>211063</v>
      </c>
      <c r="C90" s="83" t="s">
        <v>353</v>
      </c>
      <c r="D90" s="83" t="s">
        <v>1674</v>
      </c>
      <c r="E90" s="83" t="s">
        <v>402</v>
      </c>
      <c r="F90" s="86" t="s">
        <v>68</v>
      </c>
      <c r="G90" s="201">
        <v>43709</v>
      </c>
      <c r="H90" s="201">
        <v>44530</v>
      </c>
      <c r="I90" s="84">
        <v>33450</v>
      </c>
      <c r="J90" s="84">
        <v>11148.885</v>
      </c>
    </row>
    <row r="91" spans="1:10" ht="15.75">
      <c r="A91" s="83">
        <v>507693</v>
      </c>
      <c r="B91" s="83">
        <v>211963</v>
      </c>
      <c r="C91" s="83" t="s">
        <v>353</v>
      </c>
      <c r="D91" s="83" t="s">
        <v>1656</v>
      </c>
      <c r="E91" s="83" t="s">
        <v>372</v>
      </c>
      <c r="F91" s="88" t="s">
        <v>46</v>
      </c>
      <c r="G91" s="201">
        <v>43709</v>
      </c>
      <c r="H91" s="201">
        <v>44530</v>
      </c>
      <c r="I91" s="84">
        <v>33450</v>
      </c>
      <c r="J91" s="84">
        <v>11148.885</v>
      </c>
    </row>
    <row r="92" spans="1:10" ht="15.75">
      <c r="A92" s="83">
        <v>507693</v>
      </c>
      <c r="B92" s="83">
        <v>212636</v>
      </c>
      <c r="C92" s="83" t="s">
        <v>353</v>
      </c>
      <c r="D92" s="83" t="s">
        <v>1650</v>
      </c>
      <c r="E92" s="83" t="s">
        <v>356</v>
      </c>
      <c r="F92" s="86" t="s">
        <v>53</v>
      </c>
      <c r="G92" s="201">
        <v>43709</v>
      </c>
      <c r="H92" s="201">
        <v>44530</v>
      </c>
      <c r="I92" s="84">
        <v>108370</v>
      </c>
      <c r="J92" s="84">
        <v>36119.720999999998</v>
      </c>
    </row>
    <row r="93" spans="1:10" ht="15.75">
      <c r="A93" s="83">
        <v>507693</v>
      </c>
      <c r="B93" s="83">
        <v>212893</v>
      </c>
      <c r="C93" s="83" t="s">
        <v>353</v>
      </c>
      <c r="D93" s="83" t="s">
        <v>1675</v>
      </c>
      <c r="E93" s="83" t="s">
        <v>406</v>
      </c>
      <c r="F93" s="86" t="s">
        <v>53</v>
      </c>
      <c r="G93" s="201">
        <v>43709</v>
      </c>
      <c r="H93" s="201">
        <v>44530</v>
      </c>
      <c r="I93" s="84">
        <v>108000</v>
      </c>
      <c r="J93" s="84">
        <v>35996.400000000001</v>
      </c>
    </row>
    <row r="94" spans="1:10" ht="15.75">
      <c r="A94" s="83">
        <v>507776</v>
      </c>
      <c r="B94" s="83">
        <v>208625</v>
      </c>
      <c r="C94" s="83" t="s">
        <v>353</v>
      </c>
      <c r="D94" s="83" t="s">
        <v>1643</v>
      </c>
      <c r="E94" s="97" t="s">
        <v>366</v>
      </c>
      <c r="F94" s="86" t="s">
        <v>53</v>
      </c>
      <c r="G94" s="201">
        <v>43709</v>
      </c>
      <c r="H94" s="201">
        <v>44530</v>
      </c>
      <c r="I94" s="84">
        <v>26667</v>
      </c>
      <c r="J94" s="84">
        <v>8888.1111000000001</v>
      </c>
    </row>
    <row r="95" spans="1:10" ht="15.75">
      <c r="A95" s="83">
        <v>507776</v>
      </c>
      <c r="B95" s="83">
        <v>208625</v>
      </c>
      <c r="C95" s="83" t="s">
        <v>353</v>
      </c>
      <c r="D95" s="83" t="s">
        <v>1643</v>
      </c>
      <c r="E95" s="86" t="s">
        <v>1676</v>
      </c>
      <c r="F95" s="86" t="s">
        <v>53</v>
      </c>
      <c r="G95" s="201">
        <v>43709</v>
      </c>
      <c r="H95" s="201">
        <v>44530</v>
      </c>
      <c r="I95" s="84">
        <v>56666</v>
      </c>
      <c r="J95" s="84">
        <v>18886.7778</v>
      </c>
    </row>
    <row r="96" spans="1:10" ht="15.75">
      <c r="A96" s="83">
        <v>507776</v>
      </c>
      <c r="B96" s="83">
        <v>208628</v>
      </c>
      <c r="C96" s="83" t="s">
        <v>353</v>
      </c>
      <c r="D96" s="83" t="s">
        <v>1677</v>
      </c>
      <c r="E96" s="97" t="s">
        <v>1678</v>
      </c>
      <c r="F96" s="86" t="s">
        <v>53</v>
      </c>
      <c r="G96" s="201">
        <v>43709</v>
      </c>
      <c r="H96" s="201">
        <v>44530</v>
      </c>
      <c r="I96" s="84">
        <v>26666</v>
      </c>
      <c r="J96" s="84">
        <v>8887.7777999999998</v>
      </c>
    </row>
    <row r="97" spans="1:10" ht="15.75">
      <c r="A97" s="83">
        <v>507776</v>
      </c>
      <c r="B97" s="83">
        <v>208628</v>
      </c>
      <c r="C97" s="83" t="s">
        <v>353</v>
      </c>
      <c r="D97" s="83" t="s">
        <v>1677</v>
      </c>
      <c r="E97" s="86" t="s">
        <v>1679</v>
      </c>
      <c r="F97" s="86" t="s">
        <v>53</v>
      </c>
      <c r="G97" s="201">
        <v>43709</v>
      </c>
      <c r="H97" s="201">
        <v>44530</v>
      </c>
      <c r="I97" s="84">
        <v>56668</v>
      </c>
      <c r="J97" s="84">
        <v>18887.4444</v>
      </c>
    </row>
    <row r="98" spans="1:10" ht="15.75">
      <c r="A98" s="83">
        <v>507776</v>
      </c>
      <c r="B98" s="83">
        <v>208808</v>
      </c>
      <c r="C98" s="83" t="s">
        <v>353</v>
      </c>
      <c r="D98" s="83" t="s">
        <v>1680</v>
      </c>
      <c r="E98" s="97" t="s">
        <v>414</v>
      </c>
      <c r="F98" s="86" t="s">
        <v>53</v>
      </c>
      <c r="G98" s="201">
        <v>43709</v>
      </c>
      <c r="H98" s="201">
        <v>44530</v>
      </c>
      <c r="I98" s="84">
        <v>22400</v>
      </c>
      <c r="J98" s="84">
        <v>7465.92</v>
      </c>
    </row>
    <row r="99" spans="1:10" ht="15.75">
      <c r="A99" s="83">
        <v>507776</v>
      </c>
      <c r="B99" s="83">
        <v>208808</v>
      </c>
      <c r="C99" s="83" t="s">
        <v>353</v>
      </c>
      <c r="D99" s="83" t="s">
        <v>1680</v>
      </c>
      <c r="E99" s="86" t="s">
        <v>1681</v>
      </c>
      <c r="F99" s="86" t="s">
        <v>53</v>
      </c>
      <c r="G99" s="201">
        <v>43709</v>
      </c>
      <c r="H99" s="201">
        <v>44530</v>
      </c>
      <c r="I99" s="93">
        <v>47600</v>
      </c>
      <c r="J99" s="93">
        <v>15865.08</v>
      </c>
    </row>
    <row r="100" spans="1:10" ht="15.75">
      <c r="A100" s="83">
        <v>507776</v>
      </c>
      <c r="B100" s="83">
        <v>209476</v>
      </c>
      <c r="C100" s="83" t="s">
        <v>353</v>
      </c>
      <c r="D100" s="83" t="s">
        <v>1682</v>
      </c>
      <c r="E100" s="97" t="s">
        <v>415</v>
      </c>
      <c r="F100" s="88" t="s">
        <v>46</v>
      </c>
      <c r="G100" s="201">
        <v>43709</v>
      </c>
      <c r="H100" s="201">
        <v>44530</v>
      </c>
      <c r="I100" s="84">
        <v>22400</v>
      </c>
      <c r="J100" s="84">
        <v>7465.92</v>
      </c>
    </row>
    <row r="101" spans="1:10" ht="15.75">
      <c r="A101" s="83">
        <v>507776</v>
      </c>
      <c r="B101" s="83">
        <v>209476</v>
      </c>
      <c r="C101" s="83" t="s">
        <v>353</v>
      </c>
      <c r="D101" s="83" t="s">
        <v>1682</v>
      </c>
      <c r="E101" s="86" t="s">
        <v>1683</v>
      </c>
      <c r="F101" s="88" t="s">
        <v>46</v>
      </c>
      <c r="G101" s="201">
        <v>43709</v>
      </c>
      <c r="H101" s="201">
        <v>44530</v>
      </c>
      <c r="I101" s="84">
        <v>47600</v>
      </c>
      <c r="J101" s="84">
        <v>15865.08</v>
      </c>
    </row>
    <row r="102" spans="1:10" ht="15.75">
      <c r="A102" s="83">
        <v>507776</v>
      </c>
      <c r="B102" s="83">
        <v>209711</v>
      </c>
      <c r="C102" s="83" t="s">
        <v>353</v>
      </c>
      <c r="D102" s="83" t="s">
        <v>1684</v>
      </c>
      <c r="E102" s="97" t="s">
        <v>420</v>
      </c>
      <c r="F102" s="86" t="s">
        <v>53</v>
      </c>
      <c r="G102" s="201">
        <v>43709</v>
      </c>
      <c r="H102" s="201">
        <v>44530</v>
      </c>
      <c r="I102" s="84">
        <v>26667</v>
      </c>
      <c r="J102" s="84">
        <v>8888.1111000000001</v>
      </c>
    </row>
    <row r="103" spans="1:10" ht="15.75">
      <c r="A103" s="83">
        <v>507776</v>
      </c>
      <c r="B103" s="83">
        <v>209711</v>
      </c>
      <c r="C103" s="83" t="s">
        <v>353</v>
      </c>
      <c r="D103" s="83" t="s">
        <v>1684</v>
      </c>
      <c r="E103" s="86" t="s">
        <v>1685</v>
      </c>
      <c r="F103" s="86" t="s">
        <v>53</v>
      </c>
      <c r="G103" s="201">
        <v>43709</v>
      </c>
      <c r="H103" s="201">
        <v>44530</v>
      </c>
      <c r="I103" s="84">
        <v>56666</v>
      </c>
      <c r="J103" s="84">
        <v>18886.7778</v>
      </c>
    </row>
    <row r="104" spans="1:10" ht="15.75">
      <c r="A104" s="83">
        <v>507776</v>
      </c>
      <c r="B104" s="83">
        <v>211377</v>
      </c>
      <c r="C104" s="83" t="s">
        <v>353</v>
      </c>
      <c r="D104" s="83" t="s">
        <v>1686</v>
      </c>
      <c r="E104" s="97" t="s">
        <v>413</v>
      </c>
      <c r="F104" s="86" t="s">
        <v>53</v>
      </c>
      <c r="G104" s="201">
        <v>43709</v>
      </c>
      <c r="H104" s="201">
        <v>44530</v>
      </c>
      <c r="I104" s="84">
        <v>19200</v>
      </c>
      <c r="J104" s="84">
        <v>6399.36</v>
      </c>
    </row>
    <row r="105" spans="1:10" ht="15.75">
      <c r="A105" s="83">
        <v>507776</v>
      </c>
      <c r="B105" s="83">
        <v>211377</v>
      </c>
      <c r="C105" s="83" t="s">
        <v>353</v>
      </c>
      <c r="D105" s="83" t="s">
        <v>1686</v>
      </c>
      <c r="E105" s="86" t="s">
        <v>1687</v>
      </c>
      <c r="F105" s="86" t="s">
        <v>53</v>
      </c>
      <c r="G105" s="201">
        <v>43709</v>
      </c>
      <c r="H105" s="201">
        <v>44530</v>
      </c>
      <c r="I105" s="93">
        <v>40800</v>
      </c>
      <c r="J105" s="93">
        <v>13598.64</v>
      </c>
    </row>
    <row r="106" spans="1:10" ht="15.75">
      <c r="A106" s="83">
        <v>507776</v>
      </c>
      <c r="B106" s="83">
        <v>211963</v>
      </c>
      <c r="C106" s="83" t="s">
        <v>353</v>
      </c>
      <c r="D106" s="83" t="s">
        <v>1656</v>
      </c>
      <c r="E106" s="97" t="s">
        <v>372</v>
      </c>
      <c r="F106" s="88" t="s">
        <v>46</v>
      </c>
      <c r="G106" s="201">
        <v>43709</v>
      </c>
      <c r="H106" s="201">
        <v>44530</v>
      </c>
      <c r="I106" s="84">
        <v>16000</v>
      </c>
      <c r="J106" s="84">
        <v>5332.8</v>
      </c>
    </row>
    <row r="107" spans="1:10" ht="15.75">
      <c r="A107" s="83">
        <v>507776</v>
      </c>
      <c r="B107" s="83">
        <v>211963</v>
      </c>
      <c r="C107" s="83" t="s">
        <v>353</v>
      </c>
      <c r="D107" s="83" t="s">
        <v>1656</v>
      </c>
      <c r="E107" s="86" t="s">
        <v>1688</v>
      </c>
      <c r="F107" s="88" t="s">
        <v>46</v>
      </c>
      <c r="G107" s="201">
        <v>43709</v>
      </c>
      <c r="H107" s="201">
        <v>44530</v>
      </c>
      <c r="I107" s="84">
        <v>34000</v>
      </c>
      <c r="J107" s="84">
        <v>11332.199999999999</v>
      </c>
    </row>
    <row r="108" spans="1:10" ht="15.75">
      <c r="A108" s="83">
        <v>507777</v>
      </c>
      <c r="B108" s="83">
        <v>203561</v>
      </c>
      <c r="C108" s="83" t="s">
        <v>353</v>
      </c>
      <c r="D108" s="83" t="s">
        <v>1689</v>
      </c>
      <c r="E108" s="83" t="s">
        <v>425</v>
      </c>
      <c r="F108" s="86" t="s">
        <v>53</v>
      </c>
      <c r="G108" s="201">
        <v>43709</v>
      </c>
      <c r="H108" s="201">
        <v>44530</v>
      </c>
      <c r="I108" s="84">
        <v>28475</v>
      </c>
      <c r="J108" s="84">
        <v>9490.7174999999988</v>
      </c>
    </row>
    <row r="109" spans="1:10" ht="15.75">
      <c r="A109" s="83">
        <v>507777</v>
      </c>
      <c r="B109" s="83">
        <v>203561</v>
      </c>
      <c r="C109" s="83" t="s">
        <v>353</v>
      </c>
      <c r="D109" s="83" t="s">
        <v>1689</v>
      </c>
      <c r="E109" s="86" t="s">
        <v>1690</v>
      </c>
      <c r="F109" s="86" t="s">
        <v>53</v>
      </c>
      <c r="G109" s="201">
        <v>43709</v>
      </c>
      <c r="H109" s="201">
        <v>44530</v>
      </c>
      <c r="I109" s="93">
        <v>60589</v>
      </c>
      <c r="J109" s="84">
        <v>20194.313699999999</v>
      </c>
    </row>
    <row r="110" spans="1:10" ht="15.75">
      <c r="A110" s="83">
        <v>507777</v>
      </c>
      <c r="B110" s="83">
        <v>203628</v>
      </c>
      <c r="C110" s="83" t="s">
        <v>353</v>
      </c>
      <c r="D110" s="83" t="s">
        <v>1691</v>
      </c>
      <c r="E110" s="83" t="s">
        <v>1692</v>
      </c>
      <c r="F110" s="86" t="s">
        <v>53</v>
      </c>
      <c r="G110" s="201">
        <v>43709</v>
      </c>
      <c r="H110" s="201">
        <v>44530</v>
      </c>
      <c r="I110" s="84">
        <v>64686</v>
      </c>
      <c r="J110" s="84">
        <v>21559.843799999999</v>
      </c>
    </row>
    <row r="111" spans="1:10" ht="15.75">
      <c r="A111" s="83">
        <v>507777</v>
      </c>
      <c r="B111" s="83">
        <v>203628</v>
      </c>
      <c r="C111" s="83" t="s">
        <v>353</v>
      </c>
      <c r="D111" s="83" t="s">
        <v>1691</v>
      </c>
      <c r="E111" s="86" t="s">
        <v>1693</v>
      </c>
      <c r="F111" s="86" t="s">
        <v>53</v>
      </c>
      <c r="G111" s="201">
        <v>43709</v>
      </c>
      <c r="H111" s="201">
        <v>44530</v>
      </c>
      <c r="I111" s="84">
        <v>136844</v>
      </c>
      <c r="J111" s="84">
        <v>45610.105199999998</v>
      </c>
    </row>
    <row r="112" spans="1:10" ht="15.75">
      <c r="A112" s="83">
        <v>507777</v>
      </c>
      <c r="B112" s="83">
        <v>206121</v>
      </c>
      <c r="C112" s="83" t="s">
        <v>353</v>
      </c>
      <c r="D112" s="83" t="s">
        <v>1694</v>
      </c>
      <c r="E112" s="83" t="s">
        <v>422</v>
      </c>
      <c r="F112" s="88" t="s">
        <v>46</v>
      </c>
      <c r="G112" s="201">
        <v>43709</v>
      </c>
      <c r="H112" s="201">
        <v>44530</v>
      </c>
      <c r="I112" s="84">
        <v>34260</v>
      </c>
      <c r="J112" s="84">
        <v>11418.858</v>
      </c>
    </row>
    <row r="113" spans="1:10" ht="15.75">
      <c r="A113" s="83">
        <v>507777</v>
      </c>
      <c r="B113" s="83">
        <v>206121</v>
      </c>
      <c r="C113" s="83" t="s">
        <v>353</v>
      </c>
      <c r="D113" s="83" t="s">
        <v>1694</v>
      </c>
      <c r="E113" s="86" t="s">
        <v>1695</v>
      </c>
      <c r="F113" s="88" t="s">
        <v>46</v>
      </c>
      <c r="G113" s="201">
        <v>43709</v>
      </c>
      <c r="H113" s="201">
        <v>44530</v>
      </c>
      <c r="I113" s="84">
        <v>80580</v>
      </c>
      <c r="J113" s="84">
        <v>26857.313999999998</v>
      </c>
    </row>
    <row r="114" spans="1:10" ht="15.75">
      <c r="A114" s="83">
        <v>507777</v>
      </c>
      <c r="B114" s="83">
        <v>206470</v>
      </c>
      <c r="C114" s="83" t="s">
        <v>353</v>
      </c>
      <c r="D114" s="83" t="s">
        <v>1696</v>
      </c>
      <c r="E114" s="83" t="s">
        <v>421</v>
      </c>
      <c r="F114" s="88" t="s">
        <v>46</v>
      </c>
      <c r="G114" s="201">
        <v>43709</v>
      </c>
      <c r="H114" s="201">
        <v>44530</v>
      </c>
      <c r="I114" s="84">
        <v>17265</v>
      </c>
      <c r="J114" s="84">
        <v>5754.4245000000001</v>
      </c>
    </row>
    <row r="115" spans="1:10" ht="15.75">
      <c r="A115" s="83">
        <v>507777</v>
      </c>
      <c r="B115" s="83">
        <v>206470</v>
      </c>
      <c r="C115" s="83" t="s">
        <v>353</v>
      </c>
      <c r="D115" s="83" t="s">
        <v>1696</v>
      </c>
      <c r="E115" s="86" t="s">
        <v>1697</v>
      </c>
      <c r="F115" s="88" t="s">
        <v>46</v>
      </c>
      <c r="G115" s="201">
        <v>43709</v>
      </c>
      <c r="H115" s="201">
        <v>44530</v>
      </c>
      <c r="I115" s="84">
        <v>36735</v>
      </c>
      <c r="J115" s="84">
        <v>12243.7755</v>
      </c>
    </row>
    <row r="116" spans="1:10" ht="15.75">
      <c r="A116" s="83">
        <v>507777</v>
      </c>
      <c r="B116" s="83">
        <v>208815</v>
      </c>
      <c r="C116" s="83" t="s">
        <v>353</v>
      </c>
      <c r="D116" s="83" t="s">
        <v>1698</v>
      </c>
      <c r="E116" s="83" t="s">
        <v>423</v>
      </c>
      <c r="F116" s="86" t="s">
        <v>53</v>
      </c>
      <c r="G116" s="201">
        <v>43709</v>
      </c>
      <c r="H116" s="201">
        <v>44530</v>
      </c>
      <c r="I116" s="84">
        <v>15314</v>
      </c>
      <c r="J116" s="84">
        <v>5104.1561999999994</v>
      </c>
    </row>
    <row r="117" spans="1:10" ht="15.75">
      <c r="A117" s="83">
        <v>507777</v>
      </c>
      <c r="B117" s="83">
        <v>208815</v>
      </c>
      <c r="C117" s="83" t="s">
        <v>353</v>
      </c>
      <c r="D117" s="83" t="s">
        <v>1698</v>
      </c>
      <c r="E117" s="86" t="s">
        <v>1699</v>
      </c>
      <c r="F117" s="86" t="s">
        <v>53</v>
      </c>
      <c r="G117" s="201">
        <v>43709</v>
      </c>
      <c r="H117" s="201">
        <v>44530</v>
      </c>
      <c r="I117" s="84">
        <v>32926</v>
      </c>
      <c r="J117" s="84">
        <v>10974.2358</v>
      </c>
    </row>
    <row r="118" spans="1:10" ht="15.75">
      <c r="A118" s="83">
        <v>507778</v>
      </c>
      <c r="B118" s="83">
        <v>207444</v>
      </c>
      <c r="C118" s="83" t="s">
        <v>353</v>
      </c>
      <c r="D118" s="83" t="s">
        <v>1652</v>
      </c>
      <c r="E118" s="86" t="s">
        <v>1700</v>
      </c>
      <c r="F118" s="88" t="s">
        <v>46</v>
      </c>
      <c r="G118" s="201">
        <v>43709</v>
      </c>
      <c r="H118" s="201">
        <v>44530</v>
      </c>
      <c r="I118" s="84">
        <v>50000</v>
      </c>
      <c r="J118" s="84">
        <v>16665</v>
      </c>
    </row>
    <row r="119" spans="1:10" ht="15.75">
      <c r="A119" s="83">
        <v>507778</v>
      </c>
      <c r="B119" s="83">
        <v>210089</v>
      </c>
      <c r="C119" s="83" t="s">
        <v>353</v>
      </c>
      <c r="D119" s="83" t="s">
        <v>1577</v>
      </c>
      <c r="E119" s="97" t="s">
        <v>428</v>
      </c>
      <c r="F119" s="86" t="s">
        <v>82</v>
      </c>
      <c r="G119" s="201">
        <v>43709</v>
      </c>
      <c r="H119" s="201">
        <v>44530</v>
      </c>
      <c r="I119" s="84">
        <v>80000</v>
      </c>
      <c r="J119" s="84">
        <v>26664</v>
      </c>
    </row>
    <row r="120" spans="1:10" ht="15.75">
      <c r="A120" s="83">
        <v>507778</v>
      </c>
      <c r="B120" s="83">
        <v>210089</v>
      </c>
      <c r="C120" s="83" t="s">
        <v>353</v>
      </c>
      <c r="D120" s="83" t="s">
        <v>1577</v>
      </c>
      <c r="E120" s="86" t="s">
        <v>1701</v>
      </c>
      <c r="F120" s="86" t="s">
        <v>82</v>
      </c>
      <c r="G120" s="201">
        <v>43709</v>
      </c>
      <c r="H120" s="201">
        <v>44530</v>
      </c>
      <c r="I120" s="84">
        <v>89000</v>
      </c>
      <c r="J120" s="84">
        <v>29663.699999999997</v>
      </c>
    </row>
    <row r="121" spans="1:10" ht="15.75">
      <c r="A121" s="83">
        <v>507778</v>
      </c>
      <c r="B121" s="83">
        <v>210174</v>
      </c>
      <c r="C121" s="83" t="s">
        <v>353</v>
      </c>
      <c r="D121" s="83" t="s">
        <v>1659</v>
      </c>
      <c r="E121" s="86" t="s">
        <v>1702</v>
      </c>
      <c r="F121" s="88" t="s">
        <v>46</v>
      </c>
      <c r="G121" s="201">
        <v>43709</v>
      </c>
      <c r="H121" s="201">
        <v>44530</v>
      </c>
      <c r="I121" s="84">
        <v>66000</v>
      </c>
      <c r="J121" s="84">
        <v>21997.8</v>
      </c>
    </row>
    <row r="122" spans="1:10" ht="15.75">
      <c r="A122" s="83">
        <v>507778</v>
      </c>
      <c r="B122" s="83">
        <v>211058</v>
      </c>
      <c r="C122" s="83" t="s">
        <v>353</v>
      </c>
      <c r="D122" s="83" t="s">
        <v>1703</v>
      </c>
      <c r="E122" s="86" t="s">
        <v>1704</v>
      </c>
      <c r="F122" s="88" t="s">
        <v>46</v>
      </c>
      <c r="G122" s="201">
        <v>43709</v>
      </c>
      <c r="H122" s="201">
        <v>44530</v>
      </c>
      <c r="I122" s="84">
        <v>76000</v>
      </c>
      <c r="J122" s="84">
        <v>25330.799999999999</v>
      </c>
    </row>
    <row r="123" spans="1:10" ht="15.75">
      <c r="A123" s="83">
        <v>507778</v>
      </c>
      <c r="B123" s="83">
        <v>212343</v>
      </c>
      <c r="C123" s="83" t="s">
        <v>353</v>
      </c>
      <c r="D123" s="83" t="s">
        <v>1705</v>
      </c>
      <c r="E123" s="97" t="s">
        <v>1706</v>
      </c>
      <c r="F123" s="86" t="s">
        <v>82</v>
      </c>
      <c r="G123" s="201">
        <v>43709</v>
      </c>
      <c r="H123" s="201">
        <v>44530</v>
      </c>
      <c r="I123" s="84">
        <v>80000</v>
      </c>
      <c r="J123" s="84">
        <v>26664</v>
      </c>
    </row>
    <row r="124" spans="1:10" ht="15.75">
      <c r="A124" s="83">
        <v>507778</v>
      </c>
      <c r="B124" s="83">
        <v>212343</v>
      </c>
      <c r="C124" s="83" t="s">
        <v>353</v>
      </c>
      <c r="D124" s="83" t="s">
        <v>1705</v>
      </c>
      <c r="E124" s="86" t="s">
        <v>1707</v>
      </c>
      <c r="F124" s="86" t="s">
        <v>82</v>
      </c>
      <c r="G124" s="201">
        <v>43709</v>
      </c>
      <c r="H124" s="201">
        <v>44530</v>
      </c>
      <c r="I124" s="84">
        <v>59000</v>
      </c>
      <c r="J124" s="84">
        <v>19664.7</v>
      </c>
    </row>
    <row r="125" spans="1:10" ht="15.75">
      <c r="A125" s="83">
        <v>507779</v>
      </c>
      <c r="B125" s="83">
        <v>200037</v>
      </c>
      <c r="C125" s="83" t="s">
        <v>353</v>
      </c>
      <c r="D125" s="83" t="s">
        <v>1708</v>
      </c>
      <c r="E125" s="86" t="s">
        <v>1709</v>
      </c>
      <c r="F125" s="86" t="s">
        <v>75</v>
      </c>
      <c r="G125" s="201">
        <v>43709</v>
      </c>
      <c r="H125" s="201">
        <v>44530</v>
      </c>
      <c r="I125" s="84">
        <v>95000</v>
      </c>
      <c r="J125" s="84">
        <v>31663.5</v>
      </c>
    </row>
    <row r="126" spans="1:10" ht="15.75">
      <c r="A126" s="83">
        <v>507779</v>
      </c>
      <c r="B126" s="83">
        <v>208609</v>
      </c>
      <c r="C126" s="83" t="s">
        <v>353</v>
      </c>
      <c r="D126" s="83" t="s">
        <v>1710</v>
      </c>
      <c r="E126" s="86" t="s">
        <v>1711</v>
      </c>
      <c r="F126" s="86" t="s">
        <v>82</v>
      </c>
      <c r="G126" s="201">
        <v>43709</v>
      </c>
      <c r="H126" s="201">
        <v>44530</v>
      </c>
      <c r="I126" s="84">
        <v>200000</v>
      </c>
      <c r="J126" s="84">
        <v>66660</v>
      </c>
    </row>
    <row r="127" spans="1:10" ht="15.75">
      <c r="A127" s="83">
        <v>507779</v>
      </c>
      <c r="B127" s="83">
        <v>208616</v>
      </c>
      <c r="C127" s="83" t="s">
        <v>353</v>
      </c>
      <c r="D127" s="83" t="s">
        <v>1581</v>
      </c>
      <c r="E127" s="86" t="s">
        <v>1712</v>
      </c>
      <c r="F127" s="86" t="s">
        <v>53</v>
      </c>
      <c r="G127" s="201">
        <v>43709</v>
      </c>
      <c r="H127" s="201">
        <v>44530</v>
      </c>
      <c r="I127" s="84">
        <v>80000</v>
      </c>
      <c r="J127" s="84">
        <v>26664</v>
      </c>
    </row>
    <row r="128" spans="1:10" ht="15.75">
      <c r="A128" s="83">
        <v>507779</v>
      </c>
      <c r="B128" s="83">
        <v>208630</v>
      </c>
      <c r="C128" s="83" t="s">
        <v>353</v>
      </c>
      <c r="D128" s="83" t="s">
        <v>1713</v>
      </c>
      <c r="E128" s="86" t="s">
        <v>1714</v>
      </c>
      <c r="F128" s="86" t="s">
        <v>53</v>
      </c>
      <c r="G128" s="201">
        <v>43709</v>
      </c>
      <c r="H128" s="201">
        <v>44530</v>
      </c>
      <c r="I128" s="84">
        <v>75000</v>
      </c>
      <c r="J128" s="84">
        <v>24997.5</v>
      </c>
    </row>
    <row r="129" spans="1:10" ht="15.75">
      <c r="A129" s="83">
        <v>507779</v>
      </c>
      <c r="B129" s="83">
        <v>208631</v>
      </c>
      <c r="C129" s="83" t="s">
        <v>353</v>
      </c>
      <c r="D129" s="83" t="s">
        <v>1715</v>
      </c>
      <c r="E129" s="86" t="s">
        <v>1716</v>
      </c>
      <c r="F129" s="86" t="s">
        <v>53</v>
      </c>
      <c r="G129" s="201">
        <v>43709</v>
      </c>
      <c r="H129" s="201">
        <v>44530</v>
      </c>
      <c r="I129" s="84">
        <v>50000</v>
      </c>
      <c r="J129" s="84">
        <v>16665</v>
      </c>
    </row>
    <row r="130" spans="1:10" ht="15.75">
      <c r="A130" s="83">
        <v>507779</v>
      </c>
      <c r="B130" s="83">
        <v>208750</v>
      </c>
      <c r="C130" s="83" t="s">
        <v>353</v>
      </c>
      <c r="D130" s="83" t="s">
        <v>1717</v>
      </c>
      <c r="E130" s="86" t="s">
        <v>1718</v>
      </c>
      <c r="F130" s="86" t="s">
        <v>53</v>
      </c>
      <c r="G130" s="201">
        <v>43709</v>
      </c>
      <c r="H130" s="201">
        <v>44530</v>
      </c>
      <c r="I130" s="84">
        <v>70000</v>
      </c>
      <c r="J130" s="84">
        <v>23331</v>
      </c>
    </row>
    <row r="131" spans="1:10" ht="15.75">
      <c r="A131" s="83">
        <v>507779</v>
      </c>
      <c r="B131" s="83">
        <v>209346</v>
      </c>
      <c r="C131" s="83" t="s">
        <v>353</v>
      </c>
      <c r="D131" s="83" t="s">
        <v>1610</v>
      </c>
      <c r="E131" s="86" t="s">
        <v>1719</v>
      </c>
      <c r="F131" s="86" t="s">
        <v>53</v>
      </c>
      <c r="G131" s="201">
        <v>43709</v>
      </c>
      <c r="H131" s="201">
        <v>44530</v>
      </c>
      <c r="I131" s="84">
        <v>80000</v>
      </c>
      <c r="J131" s="84">
        <v>26664</v>
      </c>
    </row>
    <row r="132" spans="1:10" ht="15.75">
      <c r="A132" s="83">
        <v>507782</v>
      </c>
      <c r="B132" s="83">
        <v>202616</v>
      </c>
      <c r="C132" s="83" t="s">
        <v>6</v>
      </c>
      <c r="D132" s="83" t="s">
        <v>1720</v>
      </c>
      <c r="E132" s="97" t="s">
        <v>1721</v>
      </c>
      <c r="F132" s="88" t="s">
        <v>46</v>
      </c>
      <c r="G132" s="201">
        <v>43709</v>
      </c>
      <c r="H132" s="201">
        <v>44742</v>
      </c>
      <c r="I132" s="84">
        <v>300000</v>
      </c>
      <c r="J132" s="84">
        <v>99990</v>
      </c>
    </row>
    <row r="133" spans="1:10" ht="15.75">
      <c r="A133" s="83">
        <v>508292</v>
      </c>
      <c r="B133" s="83">
        <v>211058</v>
      </c>
      <c r="C133" s="83" t="s">
        <v>353</v>
      </c>
      <c r="D133" s="83" t="s">
        <v>1703</v>
      </c>
      <c r="E133" s="83" t="s">
        <v>1722</v>
      </c>
      <c r="F133" s="88" t="s">
        <v>46</v>
      </c>
      <c r="G133" s="201">
        <v>43709</v>
      </c>
      <c r="H133" s="201">
        <v>44530</v>
      </c>
      <c r="I133" s="84">
        <v>100000</v>
      </c>
      <c r="J133" s="93">
        <v>33330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499984740745262"/>
  </sheetPr>
  <dimension ref="A1:J192"/>
  <sheetViews>
    <sheetView topLeftCell="A164" workbookViewId="0">
      <selection activeCell="D150" sqref="D150"/>
    </sheetView>
  </sheetViews>
  <sheetFormatPr defaultColWidth="9.140625" defaultRowHeight="16.5"/>
  <cols>
    <col min="1" max="1" width="7" style="31" customWidth="1"/>
    <col min="2" max="2" width="7.42578125" style="31" customWidth="1"/>
    <col min="3" max="3" width="37.85546875" style="31" customWidth="1"/>
    <col min="4" max="4" width="35.85546875" style="32" customWidth="1"/>
    <col min="5" max="5" width="17.5703125" style="32" bestFit="1" customWidth="1"/>
    <col min="6" max="6" width="17.5703125" style="41" bestFit="1" customWidth="1"/>
    <col min="7" max="7" width="21.140625" style="41" bestFit="1" customWidth="1"/>
    <col min="8" max="8" width="23.42578125" style="32" bestFit="1" customWidth="1"/>
    <col min="9" max="9" width="20" style="32" bestFit="1" customWidth="1"/>
    <col min="10" max="16384" width="9.140625" style="1"/>
  </cols>
  <sheetData>
    <row r="1" spans="1:10" ht="17.25" thickBot="1">
      <c r="A1" s="203" t="s">
        <v>522</v>
      </c>
      <c r="B1" s="203" t="s">
        <v>525</v>
      </c>
      <c r="C1" s="203" t="s">
        <v>36</v>
      </c>
      <c r="D1" s="203" t="s">
        <v>1723</v>
      </c>
      <c r="E1" s="203" t="s">
        <v>39</v>
      </c>
      <c r="F1" s="203" t="s">
        <v>1724</v>
      </c>
      <c r="G1" s="203" t="s">
        <v>1725</v>
      </c>
      <c r="H1" s="204" t="s">
        <v>42</v>
      </c>
      <c r="I1" s="204" t="s">
        <v>43</v>
      </c>
      <c r="J1" s="43" t="s">
        <v>1726</v>
      </c>
    </row>
    <row r="2" spans="1:10" ht="17.25" thickTop="1">
      <c r="A2" s="44">
        <v>506485</v>
      </c>
      <c r="B2" s="45">
        <v>209461</v>
      </c>
      <c r="C2" s="31" t="s">
        <v>341</v>
      </c>
      <c r="D2" s="31" t="s">
        <v>1201</v>
      </c>
      <c r="E2" s="31" t="s">
        <v>53</v>
      </c>
      <c r="F2" s="46">
        <v>43466</v>
      </c>
      <c r="G2" s="40">
        <v>43830</v>
      </c>
      <c r="H2" s="36">
        <v>15000</v>
      </c>
      <c r="I2" s="36">
        <v>4999.5</v>
      </c>
    </row>
    <row r="3" spans="1:10">
      <c r="A3" s="31">
        <v>506485</v>
      </c>
      <c r="B3" s="31">
        <v>205554</v>
      </c>
      <c r="C3" s="31" t="s">
        <v>341</v>
      </c>
      <c r="D3" s="31" t="s">
        <v>824</v>
      </c>
      <c r="E3" s="31" t="s">
        <v>1727</v>
      </c>
      <c r="F3" s="46">
        <v>43466</v>
      </c>
      <c r="G3" s="40">
        <v>43830</v>
      </c>
      <c r="H3" s="36">
        <v>10000</v>
      </c>
      <c r="I3" s="36">
        <v>3333</v>
      </c>
    </row>
    <row r="4" spans="1:10">
      <c r="A4" s="32" t="s">
        <v>1728</v>
      </c>
      <c r="B4" s="33" t="s">
        <v>1729</v>
      </c>
      <c r="C4" s="33" t="s">
        <v>6</v>
      </c>
      <c r="D4" s="33" t="s">
        <v>1730</v>
      </c>
      <c r="E4" s="33" t="s">
        <v>1727</v>
      </c>
      <c r="F4" s="40">
        <v>43191</v>
      </c>
      <c r="G4" s="41">
        <v>43555</v>
      </c>
      <c r="H4" s="34">
        <v>809889</v>
      </c>
      <c r="I4" s="36">
        <v>269936.0037</v>
      </c>
    </row>
    <row r="5" spans="1:10">
      <c r="A5" s="32" t="s">
        <v>1731</v>
      </c>
      <c r="B5" s="33" t="s">
        <v>1729</v>
      </c>
      <c r="C5" s="33" t="s">
        <v>6</v>
      </c>
      <c r="D5" s="33" t="s">
        <v>1730</v>
      </c>
      <c r="E5" s="33" t="s">
        <v>1727</v>
      </c>
      <c r="F5" s="40">
        <v>43191</v>
      </c>
      <c r="G5" s="41">
        <v>43555</v>
      </c>
      <c r="H5" s="36">
        <v>522475</v>
      </c>
      <c r="I5" s="36">
        <v>174140.91749999998</v>
      </c>
    </row>
    <row r="6" spans="1:10">
      <c r="A6" s="47">
        <v>500699</v>
      </c>
      <c r="B6" s="48">
        <v>208609</v>
      </c>
      <c r="C6" s="47" t="s">
        <v>347</v>
      </c>
      <c r="D6" s="49" t="s">
        <v>1732</v>
      </c>
      <c r="E6" s="49" t="s">
        <v>82</v>
      </c>
      <c r="F6" s="50">
        <v>43191</v>
      </c>
      <c r="G6" s="50">
        <v>44286</v>
      </c>
      <c r="H6" s="51">
        <v>5000</v>
      </c>
      <c r="I6" s="51">
        <v>1666.5</v>
      </c>
    </row>
    <row r="7" spans="1:10">
      <c r="A7" s="31">
        <v>501347</v>
      </c>
      <c r="B7" s="31">
        <v>206121</v>
      </c>
      <c r="C7" s="31" t="s">
        <v>347</v>
      </c>
      <c r="D7" s="31" t="s">
        <v>310</v>
      </c>
      <c r="E7" s="31" t="s">
        <v>1727</v>
      </c>
      <c r="F7" s="46">
        <v>43344</v>
      </c>
      <c r="G7" s="40">
        <v>43708</v>
      </c>
      <c r="H7" s="36">
        <v>91511</v>
      </c>
      <c r="I7" s="36">
        <v>30500.616299999998</v>
      </c>
    </row>
    <row r="8" spans="1:10">
      <c r="A8" s="31">
        <v>501340</v>
      </c>
      <c r="B8" s="31">
        <v>200821</v>
      </c>
      <c r="C8" s="31" t="s">
        <v>347</v>
      </c>
      <c r="D8" s="31" t="s">
        <v>1733</v>
      </c>
      <c r="E8" s="31" t="s">
        <v>1727</v>
      </c>
      <c r="F8" s="46">
        <v>43344</v>
      </c>
      <c r="G8" s="40">
        <v>43708</v>
      </c>
      <c r="H8" s="36">
        <v>100000</v>
      </c>
      <c r="I8" s="36">
        <v>33330</v>
      </c>
    </row>
    <row r="9" spans="1:10">
      <c r="A9" s="31">
        <v>501340</v>
      </c>
      <c r="B9" s="31">
        <v>206147</v>
      </c>
      <c r="C9" s="31" t="s">
        <v>347</v>
      </c>
      <c r="D9" s="31" t="s">
        <v>196</v>
      </c>
      <c r="E9" s="31" t="s">
        <v>1727</v>
      </c>
      <c r="F9" s="46">
        <v>43344</v>
      </c>
      <c r="G9" s="40">
        <v>43708</v>
      </c>
      <c r="H9" s="36">
        <v>100000</v>
      </c>
      <c r="I9" s="36">
        <v>33330</v>
      </c>
    </row>
    <row r="10" spans="1:10">
      <c r="A10" s="31">
        <v>501348</v>
      </c>
      <c r="B10" s="31">
        <v>211058</v>
      </c>
      <c r="C10" s="31" t="s">
        <v>347</v>
      </c>
      <c r="D10" s="31" t="s">
        <v>1734</v>
      </c>
      <c r="E10" s="31" t="s">
        <v>1727</v>
      </c>
      <c r="F10" s="46">
        <v>43344</v>
      </c>
      <c r="G10" s="40">
        <v>43708</v>
      </c>
      <c r="H10" s="36">
        <v>57000</v>
      </c>
      <c r="I10" s="36">
        <v>18998.099999999999</v>
      </c>
    </row>
    <row r="11" spans="1:10">
      <c r="A11" s="31">
        <v>501333</v>
      </c>
      <c r="B11" s="31">
        <v>211963</v>
      </c>
      <c r="C11" s="31" t="s">
        <v>347</v>
      </c>
      <c r="D11" s="31" t="s">
        <v>84</v>
      </c>
      <c r="E11" s="31" t="s">
        <v>1727</v>
      </c>
      <c r="F11" s="46">
        <v>43344</v>
      </c>
      <c r="G11" s="40">
        <v>43708</v>
      </c>
      <c r="H11" s="36">
        <v>70000</v>
      </c>
      <c r="I11" s="36">
        <v>23331</v>
      </c>
    </row>
    <row r="12" spans="1:10">
      <c r="A12" s="31">
        <v>501345</v>
      </c>
      <c r="B12" s="31">
        <v>211963</v>
      </c>
      <c r="C12" s="31" t="s">
        <v>347</v>
      </c>
      <c r="D12" s="31" t="s">
        <v>84</v>
      </c>
      <c r="E12" s="31" t="s">
        <v>1727</v>
      </c>
      <c r="F12" s="46">
        <v>43344</v>
      </c>
      <c r="G12" s="40">
        <v>43708</v>
      </c>
      <c r="H12" s="36">
        <v>35000</v>
      </c>
      <c r="I12" s="36">
        <v>11665.5</v>
      </c>
    </row>
    <row r="13" spans="1:10">
      <c r="A13" s="31">
        <v>501334</v>
      </c>
      <c r="B13" s="31">
        <v>211963</v>
      </c>
      <c r="C13" s="31" t="s">
        <v>347</v>
      </c>
      <c r="D13" s="31" t="s">
        <v>84</v>
      </c>
      <c r="E13" s="31" t="s">
        <v>1727</v>
      </c>
      <c r="F13" s="46">
        <v>43344</v>
      </c>
      <c r="G13" s="40">
        <v>43708</v>
      </c>
      <c r="H13" s="36">
        <v>50000</v>
      </c>
      <c r="I13" s="36">
        <v>16665</v>
      </c>
    </row>
    <row r="14" spans="1:10">
      <c r="A14" s="31">
        <v>501347</v>
      </c>
      <c r="B14" s="31">
        <v>206470</v>
      </c>
      <c r="C14" s="31" t="s">
        <v>347</v>
      </c>
      <c r="D14" s="31" t="s">
        <v>1735</v>
      </c>
      <c r="E14" s="31" t="s">
        <v>1727</v>
      </c>
      <c r="F14" s="46">
        <v>43344</v>
      </c>
      <c r="G14" s="40">
        <v>43708</v>
      </c>
      <c r="H14" s="36">
        <v>21900</v>
      </c>
      <c r="I14" s="36">
        <v>7299.2699999999995</v>
      </c>
    </row>
    <row r="15" spans="1:10">
      <c r="A15" s="31">
        <v>501336</v>
      </c>
      <c r="B15" s="31">
        <v>211063</v>
      </c>
      <c r="C15" s="31" t="s">
        <v>347</v>
      </c>
      <c r="D15" s="31" t="s">
        <v>1736</v>
      </c>
      <c r="E15" s="31" t="s">
        <v>68</v>
      </c>
      <c r="F15" s="46">
        <v>43344</v>
      </c>
      <c r="G15" s="40">
        <v>43708</v>
      </c>
      <c r="H15" s="36">
        <v>115000</v>
      </c>
      <c r="I15" s="36">
        <v>38329.5</v>
      </c>
    </row>
    <row r="16" spans="1:10">
      <c r="A16" s="31">
        <v>501332</v>
      </c>
      <c r="B16" s="31">
        <v>210174</v>
      </c>
      <c r="C16" s="31" t="s">
        <v>347</v>
      </c>
      <c r="D16" s="31" t="s">
        <v>1737</v>
      </c>
      <c r="E16" s="31" t="s">
        <v>1727</v>
      </c>
      <c r="F16" s="46">
        <v>43344</v>
      </c>
      <c r="G16" s="40">
        <v>43708</v>
      </c>
      <c r="H16" s="36">
        <v>83000</v>
      </c>
      <c r="I16" s="36">
        <v>27663.899999999998</v>
      </c>
    </row>
    <row r="17" spans="1:9">
      <c r="A17" s="31">
        <v>501340</v>
      </c>
      <c r="B17" s="31">
        <v>210781</v>
      </c>
      <c r="C17" s="31" t="s">
        <v>347</v>
      </c>
      <c r="D17" s="31" t="s">
        <v>1248</v>
      </c>
      <c r="E17" s="31" t="s">
        <v>1727</v>
      </c>
      <c r="F17" s="46">
        <v>43344</v>
      </c>
      <c r="G17" s="40">
        <v>43708</v>
      </c>
      <c r="H17" s="36">
        <v>75000</v>
      </c>
      <c r="I17" s="36">
        <v>24997.5</v>
      </c>
    </row>
    <row r="18" spans="1:9">
      <c r="A18" s="31">
        <v>501349</v>
      </c>
      <c r="B18" s="31">
        <v>208811</v>
      </c>
      <c r="C18" s="31" t="s">
        <v>347</v>
      </c>
      <c r="D18" s="31" t="s">
        <v>1134</v>
      </c>
      <c r="E18" s="31" t="s">
        <v>53</v>
      </c>
      <c r="F18" s="46">
        <v>43344</v>
      </c>
      <c r="G18" s="40">
        <v>43708</v>
      </c>
      <c r="H18" s="36">
        <v>100000</v>
      </c>
      <c r="I18" s="36">
        <v>33330</v>
      </c>
    </row>
    <row r="19" spans="1:9">
      <c r="A19" s="47">
        <v>501347</v>
      </c>
      <c r="B19" s="48">
        <v>203561</v>
      </c>
      <c r="C19" s="47" t="s">
        <v>347</v>
      </c>
      <c r="D19" s="49" t="s">
        <v>1738</v>
      </c>
      <c r="E19" s="49" t="s">
        <v>53</v>
      </c>
      <c r="F19" s="50">
        <v>42979</v>
      </c>
      <c r="G19" s="50">
        <v>43343</v>
      </c>
      <c r="H19" s="51">
        <v>5000</v>
      </c>
      <c r="I19" s="51">
        <v>1666.5</v>
      </c>
    </row>
    <row r="20" spans="1:9">
      <c r="A20" s="31">
        <v>501332</v>
      </c>
      <c r="B20" s="31">
        <v>208846</v>
      </c>
      <c r="C20" s="31" t="s">
        <v>347</v>
      </c>
      <c r="D20" s="31" t="s">
        <v>1141</v>
      </c>
      <c r="E20" s="31" t="s">
        <v>1727</v>
      </c>
      <c r="F20" s="46">
        <v>43344</v>
      </c>
      <c r="G20" s="40">
        <v>43708</v>
      </c>
      <c r="H20" s="36">
        <v>25000</v>
      </c>
      <c r="I20" s="36">
        <v>8332.5</v>
      </c>
    </row>
    <row r="21" spans="1:9">
      <c r="A21" s="31">
        <v>501347</v>
      </c>
      <c r="B21" s="31">
        <v>207636</v>
      </c>
      <c r="C21" s="31" t="s">
        <v>347</v>
      </c>
      <c r="D21" s="31" t="s">
        <v>181</v>
      </c>
      <c r="E21" s="31" t="s">
        <v>1727</v>
      </c>
      <c r="F21" s="46">
        <v>43344</v>
      </c>
      <c r="G21" s="40">
        <v>43708</v>
      </c>
      <c r="H21" s="36">
        <v>43000</v>
      </c>
      <c r="I21" s="36">
        <v>14331.9</v>
      </c>
    </row>
    <row r="22" spans="1:9">
      <c r="A22" s="31">
        <v>501380</v>
      </c>
      <c r="B22" s="31">
        <v>207636</v>
      </c>
      <c r="C22" s="31" t="s">
        <v>347</v>
      </c>
      <c r="D22" s="31" t="s">
        <v>181</v>
      </c>
      <c r="E22" s="31" t="s">
        <v>1727</v>
      </c>
      <c r="F22" s="46">
        <v>43344</v>
      </c>
      <c r="G22" s="40">
        <v>43708</v>
      </c>
      <c r="H22" s="36">
        <v>139525</v>
      </c>
      <c r="I22" s="36">
        <v>46503.682499999995</v>
      </c>
    </row>
    <row r="23" spans="1:9">
      <c r="A23" s="31">
        <v>501338</v>
      </c>
      <c r="B23" s="31">
        <v>208815</v>
      </c>
      <c r="C23" s="31" t="s">
        <v>347</v>
      </c>
      <c r="D23" s="31" t="s">
        <v>314</v>
      </c>
      <c r="E23" s="31" t="s">
        <v>53</v>
      </c>
      <c r="F23" s="46">
        <v>43344</v>
      </c>
      <c r="G23" s="40">
        <v>43708</v>
      </c>
      <c r="H23" s="36">
        <v>81492</v>
      </c>
      <c r="I23" s="36">
        <v>27161.283599999999</v>
      </c>
    </row>
    <row r="24" spans="1:9">
      <c r="A24" s="31">
        <v>501345</v>
      </c>
      <c r="B24" s="31">
        <v>208615</v>
      </c>
      <c r="C24" s="31" t="s">
        <v>347</v>
      </c>
      <c r="D24" s="31" t="s">
        <v>1739</v>
      </c>
      <c r="E24" s="31" t="s">
        <v>53</v>
      </c>
      <c r="F24" s="46">
        <v>43344</v>
      </c>
      <c r="G24" s="40">
        <v>43708</v>
      </c>
      <c r="H24" s="36">
        <v>15000</v>
      </c>
      <c r="I24" s="36">
        <v>4999.5</v>
      </c>
    </row>
    <row r="25" spans="1:9">
      <c r="A25" s="31">
        <v>501337</v>
      </c>
      <c r="B25" s="31">
        <v>211377</v>
      </c>
      <c r="C25" s="31" t="s">
        <v>347</v>
      </c>
      <c r="D25" s="31" t="s">
        <v>55</v>
      </c>
      <c r="E25" s="31" t="s">
        <v>53</v>
      </c>
      <c r="F25" s="46">
        <v>43344</v>
      </c>
      <c r="G25" s="40">
        <v>43708</v>
      </c>
      <c r="H25" s="36">
        <v>20000</v>
      </c>
      <c r="I25" s="36">
        <v>6666</v>
      </c>
    </row>
    <row r="26" spans="1:9">
      <c r="A26" s="31">
        <v>501334</v>
      </c>
      <c r="B26" s="31">
        <v>211377</v>
      </c>
      <c r="C26" s="31" t="s">
        <v>347</v>
      </c>
      <c r="D26" s="31" t="s">
        <v>55</v>
      </c>
      <c r="E26" s="31" t="s">
        <v>53</v>
      </c>
      <c r="F26" s="46">
        <v>43344</v>
      </c>
      <c r="G26" s="40">
        <v>43708</v>
      </c>
      <c r="H26" s="36">
        <v>270257</v>
      </c>
      <c r="I26" s="36">
        <v>90076.658100000001</v>
      </c>
    </row>
    <row r="27" spans="1:9">
      <c r="A27" s="31">
        <v>501348</v>
      </c>
      <c r="B27" s="31">
        <v>211191</v>
      </c>
      <c r="C27" s="31" t="s">
        <v>347</v>
      </c>
      <c r="D27" s="31" t="s">
        <v>1740</v>
      </c>
      <c r="E27" s="31" t="s">
        <v>82</v>
      </c>
      <c r="F27" s="46">
        <v>43344</v>
      </c>
      <c r="G27" s="40">
        <v>43708</v>
      </c>
      <c r="H27" s="36">
        <v>116500</v>
      </c>
      <c r="I27" s="36">
        <v>38829.449999999997</v>
      </c>
    </row>
    <row r="28" spans="1:9">
      <c r="A28" s="31">
        <v>501332</v>
      </c>
      <c r="B28" s="31">
        <v>212404</v>
      </c>
      <c r="C28" s="31" t="s">
        <v>347</v>
      </c>
      <c r="D28" s="31" t="s">
        <v>1349</v>
      </c>
      <c r="E28" s="31" t="s">
        <v>68</v>
      </c>
      <c r="F28" s="46">
        <v>43344</v>
      </c>
      <c r="G28" s="40">
        <v>43708</v>
      </c>
      <c r="H28" s="36">
        <v>83000</v>
      </c>
      <c r="I28" s="36">
        <v>27663.899999999998</v>
      </c>
    </row>
    <row r="29" spans="1:9">
      <c r="A29" s="31">
        <v>501346</v>
      </c>
      <c r="B29" s="31">
        <v>207150</v>
      </c>
      <c r="C29" s="31" t="s">
        <v>347</v>
      </c>
      <c r="D29" s="31" t="s">
        <v>1741</v>
      </c>
      <c r="E29" s="31" t="s">
        <v>1727</v>
      </c>
      <c r="F29" s="46">
        <v>43344</v>
      </c>
      <c r="G29" s="40">
        <v>43708</v>
      </c>
      <c r="H29" s="36">
        <v>46000</v>
      </c>
      <c r="I29" s="36">
        <v>15331.8</v>
      </c>
    </row>
    <row r="30" spans="1:9">
      <c r="A30" s="31">
        <v>501335</v>
      </c>
      <c r="B30" s="31">
        <v>212714</v>
      </c>
      <c r="C30" s="31" t="s">
        <v>347</v>
      </c>
      <c r="D30" s="31" t="s">
        <v>279</v>
      </c>
      <c r="E30" s="31" t="s">
        <v>53</v>
      </c>
      <c r="F30" s="46">
        <v>43344</v>
      </c>
      <c r="G30" s="40">
        <v>43708</v>
      </c>
      <c r="H30" s="36">
        <v>20000</v>
      </c>
      <c r="I30" s="36">
        <v>6666</v>
      </c>
    </row>
    <row r="31" spans="1:9">
      <c r="A31" s="31">
        <v>501344</v>
      </c>
      <c r="B31" s="31">
        <v>207233</v>
      </c>
      <c r="C31" s="31" t="s">
        <v>347</v>
      </c>
      <c r="D31" s="31" t="s">
        <v>203</v>
      </c>
      <c r="E31" s="31" t="s">
        <v>1727</v>
      </c>
      <c r="F31" s="46">
        <v>43344</v>
      </c>
      <c r="G31" s="40">
        <v>43708</v>
      </c>
      <c r="H31" s="36">
        <v>112500</v>
      </c>
      <c r="I31" s="36">
        <v>37496.25</v>
      </c>
    </row>
    <row r="32" spans="1:9">
      <c r="A32" s="31">
        <v>501346</v>
      </c>
      <c r="B32" s="31">
        <v>212317</v>
      </c>
      <c r="C32" s="31" t="s">
        <v>347</v>
      </c>
      <c r="D32" s="31" t="s">
        <v>1338</v>
      </c>
      <c r="E32" s="31" t="s">
        <v>82</v>
      </c>
      <c r="F32" s="46">
        <v>43344</v>
      </c>
      <c r="G32" s="40">
        <v>43708</v>
      </c>
      <c r="H32" s="36">
        <v>69500</v>
      </c>
      <c r="I32" s="36">
        <v>23164.35</v>
      </c>
    </row>
    <row r="33" spans="1:9">
      <c r="A33" s="31">
        <v>501333</v>
      </c>
      <c r="B33" s="31">
        <v>207444</v>
      </c>
      <c r="C33" s="31" t="s">
        <v>347</v>
      </c>
      <c r="D33" s="31" t="s">
        <v>1742</v>
      </c>
      <c r="E33" s="31" t="s">
        <v>1727</v>
      </c>
      <c r="F33" s="46">
        <v>43344</v>
      </c>
      <c r="G33" s="40">
        <v>43708</v>
      </c>
      <c r="H33" s="36">
        <v>60000</v>
      </c>
      <c r="I33" s="36">
        <v>19998</v>
      </c>
    </row>
    <row r="34" spans="1:9">
      <c r="A34" s="31">
        <v>501336</v>
      </c>
      <c r="B34" s="31">
        <v>206130</v>
      </c>
      <c r="C34" s="31" t="s">
        <v>347</v>
      </c>
      <c r="D34" s="31" t="s">
        <v>292</v>
      </c>
      <c r="E34" s="31" t="s">
        <v>1727</v>
      </c>
      <c r="F34" s="46">
        <v>43344</v>
      </c>
      <c r="G34" s="40">
        <v>43708</v>
      </c>
      <c r="H34" s="36">
        <v>190150</v>
      </c>
      <c r="I34" s="36">
        <v>63376.994999999995</v>
      </c>
    </row>
    <row r="35" spans="1:9">
      <c r="A35" s="31">
        <v>501349</v>
      </c>
      <c r="B35" s="31">
        <v>208630</v>
      </c>
      <c r="C35" s="31" t="s">
        <v>347</v>
      </c>
      <c r="D35" s="31" t="s">
        <v>328</v>
      </c>
      <c r="E35" s="31" t="s">
        <v>53</v>
      </c>
      <c r="F35" s="46">
        <v>43344</v>
      </c>
      <c r="G35" s="40">
        <v>43708</v>
      </c>
      <c r="H35" s="36">
        <v>100000</v>
      </c>
      <c r="I35" s="36">
        <v>33330</v>
      </c>
    </row>
    <row r="36" spans="1:9">
      <c r="A36" s="31">
        <v>501333</v>
      </c>
      <c r="B36" s="31">
        <v>208325</v>
      </c>
      <c r="C36" s="31" t="s">
        <v>347</v>
      </c>
      <c r="D36" s="31" t="s">
        <v>992</v>
      </c>
      <c r="E36" s="31" t="s">
        <v>53</v>
      </c>
      <c r="F36" s="46">
        <v>43344</v>
      </c>
      <c r="G36" s="40">
        <v>43708</v>
      </c>
      <c r="H36" s="36">
        <v>50000</v>
      </c>
      <c r="I36" s="36">
        <v>16665</v>
      </c>
    </row>
    <row r="37" spans="1:9">
      <c r="A37" s="31">
        <v>501335</v>
      </c>
      <c r="B37" s="31">
        <v>208325</v>
      </c>
      <c r="C37" s="31" t="s">
        <v>347</v>
      </c>
      <c r="D37" s="31" t="s">
        <v>992</v>
      </c>
      <c r="E37" s="31" t="s">
        <v>53</v>
      </c>
      <c r="F37" s="46">
        <v>43344</v>
      </c>
      <c r="G37" s="40">
        <v>43708</v>
      </c>
      <c r="H37" s="36">
        <v>14375</v>
      </c>
      <c r="I37" s="36">
        <v>4791.1875</v>
      </c>
    </row>
    <row r="38" spans="1:9">
      <c r="A38" s="31">
        <v>501348</v>
      </c>
      <c r="B38" s="31">
        <v>212183</v>
      </c>
      <c r="C38" s="31" t="s">
        <v>347</v>
      </c>
      <c r="D38" s="31" t="s">
        <v>94</v>
      </c>
      <c r="E38" s="31" t="s">
        <v>68</v>
      </c>
      <c r="F38" s="46">
        <v>43344</v>
      </c>
      <c r="G38" s="40">
        <v>43708</v>
      </c>
      <c r="H38" s="36">
        <v>97000</v>
      </c>
      <c r="I38" s="36">
        <v>32330.1</v>
      </c>
    </row>
    <row r="39" spans="1:9">
      <c r="A39" s="31">
        <v>501334</v>
      </c>
      <c r="B39" s="31">
        <v>207237</v>
      </c>
      <c r="C39" s="31" t="s">
        <v>347</v>
      </c>
      <c r="D39" s="31" t="s">
        <v>951</v>
      </c>
      <c r="E39" s="31" t="s">
        <v>53</v>
      </c>
      <c r="F39" s="46">
        <v>43344</v>
      </c>
      <c r="G39" s="40">
        <v>43708</v>
      </c>
      <c r="H39" s="36">
        <v>164125</v>
      </c>
      <c r="I39" s="36">
        <v>54702.862499999996</v>
      </c>
    </row>
    <row r="40" spans="1:9">
      <c r="A40" s="31">
        <v>501334</v>
      </c>
      <c r="B40" s="31">
        <v>208475</v>
      </c>
      <c r="C40" s="31" t="s">
        <v>347</v>
      </c>
      <c r="D40" s="31" t="s">
        <v>1743</v>
      </c>
      <c r="E40" s="31" t="s">
        <v>53</v>
      </c>
      <c r="F40" s="46">
        <v>43344</v>
      </c>
      <c r="G40" s="40">
        <v>43708</v>
      </c>
      <c r="H40" s="36">
        <v>80000</v>
      </c>
      <c r="I40" s="36">
        <v>26664</v>
      </c>
    </row>
    <row r="41" spans="1:9">
      <c r="A41" s="31">
        <v>501333</v>
      </c>
      <c r="B41" s="31">
        <v>211256</v>
      </c>
      <c r="C41" s="31" t="s">
        <v>347</v>
      </c>
      <c r="D41" s="31" t="s">
        <v>250</v>
      </c>
      <c r="E41" s="31" t="s">
        <v>68</v>
      </c>
      <c r="F41" s="46">
        <v>43344</v>
      </c>
      <c r="G41" s="40">
        <v>43708</v>
      </c>
      <c r="H41" s="36">
        <v>90000</v>
      </c>
      <c r="I41" s="36">
        <v>29997</v>
      </c>
    </row>
    <row r="42" spans="1:9">
      <c r="A42" s="31">
        <v>501336</v>
      </c>
      <c r="B42" s="31">
        <v>212636</v>
      </c>
      <c r="C42" s="31" t="s">
        <v>347</v>
      </c>
      <c r="D42" s="31" t="s">
        <v>110</v>
      </c>
      <c r="E42" s="31" t="s">
        <v>53</v>
      </c>
      <c r="F42" s="46">
        <v>43344</v>
      </c>
      <c r="G42" s="40">
        <v>43708</v>
      </c>
      <c r="H42" s="36">
        <v>211793</v>
      </c>
      <c r="I42" s="36">
        <v>70590.606899999999</v>
      </c>
    </row>
    <row r="43" spans="1:9">
      <c r="A43" s="31">
        <v>501380</v>
      </c>
      <c r="B43" s="31">
        <v>212636</v>
      </c>
      <c r="C43" s="31" t="s">
        <v>347</v>
      </c>
      <c r="D43" s="31" t="s">
        <v>110</v>
      </c>
      <c r="E43" s="31" t="s">
        <v>53</v>
      </c>
      <c r="F43" s="46">
        <v>43344</v>
      </c>
      <c r="G43" s="40">
        <v>43708</v>
      </c>
      <c r="H43" s="36">
        <v>25000</v>
      </c>
      <c r="I43" s="36">
        <v>8332.5</v>
      </c>
    </row>
    <row r="44" spans="1:9">
      <c r="A44" s="31">
        <v>501340</v>
      </c>
      <c r="B44" s="31">
        <v>212636</v>
      </c>
      <c r="C44" s="31" t="s">
        <v>347</v>
      </c>
      <c r="D44" s="31" t="s">
        <v>110</v>
      </c>
      <c r="E44" s="31" t="s">
        <v>53</v>
      </c>
      <c r="F44" s="46">
        <v>43344</v>
      </c>
      <c r="G44" s="40">
        <v>43708</v>
      </c>
      <c r="H44" s="36">
        <v>116000</v>
      </c>
      <c r="I44" s="36">
        <v>38662.799999999996</v>
      </c>
    </row>
    <row r="45" spans="1:9">
      <c r="A45" s="31">
        <v>501337</v>
      </c>
      <c r="B45" s="31">
        <v>212065</v>
      </c>
      <c r="C45" s="31" t="s">
        <v>347</v>
      </c>
      <c r="D45" s="31" t="s">
        <v>88</v>
      </c>
      <c r="E45" s="31" t="s">
        <v>1727</v>
      </c>
      <c r="F45" s="46">
        <v>43344</v>
      </c>
      <c r="G45" s="40">
        <v>43708</v>
      </c>
      <c r="H45" s="36">
        <v>68926</v>
      </c>
      <c r="I45" s="36">
        <v>22973.035799999998</v>
      </c>
    </row>
    <row r="46" spans="1:9">
      <c r="A46" s="31">
        <v>501345</v>
      </c>
      <c r="B46" s="31">
        <v>212065</v>
      </c>
      <c r="C46" s="31" t="s">
        <v>347</v>
      </c>
      <c r="D46" s="31" t="s">
        <v>88</v>
      </c>
      <c r="E46" s="31" t="s">
        <v>1727</v>
      </c>
      <c r="F46" s="46">
        <v>43344</v>
      </c>
      <c r="G46" s="40">
        <v>43708</v>
      </c>
      <c r="H46" s="36">
        <v>100472</v>
      </c>
      <c r="I46" s="36">
        <v>33487.317600000002</v>
      </c>
    </row>
    <row r="47" spans="1:9">
      <c r="A47" s="31">
        <v>501334</v>
      </c>
      <c r="B47" s="31">
        <v>212065</v>
      </c>
      <c r="C47" s="31" t="s">
        <v>347</v>
      </c>
      <c r="D47" s="31" t="s">
        <v>88</v>
      </c>
      <c r="E47" s="31" t="s">
        <v>1727</v>
      </c>
      <c r="F47" s="46">
        <v>43344</v>
      </c>
      <c r="G47" s="40">
        <v>43708</v>
      </c>
      <c r="H47" s="36">
        <v>30000</v>
      </c>
      <c r="I47" s="36">
        <v>9999</v>
      </c>
    </row>
    <row r="48" spans="1:9">
      <c r="A48" s="31">
        <v>501338</v>
      </c>
      <c r="B48" s="31">
        <v>203628</v>
      </c>
      <c r="C48" s="31" t="s">
        <v>347</v>
      </c>
      <c r="D48" s="31" t="s">
        <v>1744</v>
      </c>
      <c r="E48" s="31" t="s">
        <v>53</v>
      </c>
      <c r="F48" s="46">
        <v>43344</v>
      </c>
      <c r="G48" s="40">
        <v>43708</v>
      </c>
      <c r="H48" s="36">
        <v>236000</v>
      </c>
      <c r="I48" s="36">
        <v>78658.8</v>
      </c>
    </row>
    <row r="49" spans="1:9">
      <c r="A49" s="31">
        <v>501339</v>
      </c>
      <c r="B49" s="31">
        <v>208617</v>
      </c>
      <c r="C49" s="31" t="s">
        <v>347</v>
      </c>
      <c r="D49" s="31" t="s">
        <v>1059</v>
      </c>
      <c r="E49" s="31" t="s">
        <v>68</v>
      </c>
      <c r="F49" s="46">
        <v>43344</v>
      </c>
      <c r="G49" s="40">
        <v>43708</v>
      </c>
      <c r="H49" s="36">
        <v>105380</v>
      </c>
      <c r="I49" s="36">
        <v>35123.153999999995</v>
      </c>
    </row>
    <row r="50" spans="1:9">
      <c r="A50" s="31">
        <v>501380</v>
      </c>
      <c r="B50" s="31">
        <v>208728</v>
      </c>
      <c r="C50" s="31" t="s">
        <v>347</v>
      </c>
      <c r="D50" s="31" t="s">
        <v>71</v>
      </c>
      <c r="E50" s="31" t="s">
        <v>53</v>
      </c>
      <c r="F50" s="46">
        <v>43344</v>
      </c>
      <c r="G50" s="40">
        <v>43708</v>
      </c>
      <c r="H50" s="36">
        <v>24085</v>
      </c>
      <c r="I50" s="36">
        <v>8027.5304999999998</v>
      </c>
    </row>
    <row r="51" spans="1:9">
      <c r="A51" s="31">
        <v>501344</v>
      </c>
      <c r="B51" s="31">
        <v>208807</v>
      </c>
      <c r="C51" s="31" t="s">
        <v>347</v>
      </c>
      <c r="D51" s="31" t="s">
        <v>1118</v>
      </c>
      <c r="E51" s="31" t="s">
        <v>68</v>
      </c>
      <c r="F51" s="46">
        <v>43344</v>
      </c>
      <c r="G51" s="40">
        <v>43708</v>
      </c>
      <c r="H51" s="36">
        <v>75000</v>
      </c>
      <c r="I51" s="36">
        <v>24997.5</v>
      </c>
    </row>
    <row r="52" spans="1:9">
      <c r="A52" s="31">
        <v>501341</v>
      </c>
      <c r="B52" s="31">
        <v>213043</v>
      </c>
      <c r="C52" s="31" t="s">
        <v>347</v>
      </c>
      <c r="D52" s="31" t="s">
        <v>1400</v>
      </c>
      <c r="E52" s="31" t="s">
        <v>1727</v>
      </c>
      <c r="F52" s="46">
        <v>43344</v>
      </c>
      <c r="G52" s="40">
        <v>43708</v>
      </c>
      <c r="H52" s="36">
        <v>25000</v>
      </c>
      <c r="I52" s="36">
        <v>8332.5</v>
      </c>
    </row>
    <row r="53" spans="1:9">
      <c r="A53" s="31">
        <v>501338</v>
      </c>
      <c r="B53" s="31">
        <v>203442</v>
      </c>
      <c r="C53" s="31" t="s">
        <v>347</v>
      </c>
      <c r="D53" s="31" t="s">
        <v>191</v>
      </c>
      <c r="E53" s="31" t="s">
        <v>53</v>
      </c>
      <c r="F53" s="46">
        <v>43344</v>
      </c>
      <c r="G53" s="40">
        <v>43708</v>
      </c>
      <c r="H53" s="36">
        <v>5862</v>
      </c>
      <c r="I53" s="36">
        <v>1953.8045999999999</v>
      </c>
    </row>
    <row r="54" spans="1:9">
      <c r="A54" s="31">
        <v>501334</v>
      </c>
      <c r="B54" s="31">
        <v>208808</v>
      </c>
      <c r="C54" s="31" t="s">
        <v>347</v>
      </c>
      <c r="D54" s="31" t="s">
        <v>308</v>
      </c>
      <c r="E54" s="31" t="s">
        <v>53</v>
      </c>
      <c r="F54" s="46">
        <v>43344</v>
      </c>
      <c r="G54" s="40">
        <v>43708</v>
      </c>
      <c r="H54" s="36">
        <v>164125</v>
      </c>
      <c r="I54" s="36">
        <v>54702.862499999996</v>
      </c>
    </row>
    <row r="55" spans="1:9">
      <c r="A55" s="31">
        <v>501339</v>
      </c>
      <c r="B55" s="31">
        <v>205993</v>
      </c>
      <c r="C55" s="31" t="s">
        <v>347</v>
      </c>
      <c r="D55" s="31" t="s">
        <v>1745</v>
      </c>
      <c r="E55" s="31" t="s">
        <v>1727</v>
      </c>
      <c r="F55" s="46">
        <v>43344</v>
      </c>
      <c r="G55" s="40">
        <v>43708</v>
      </c>
      <c r="H55" s="36">
        <v>98680</v>
      </c>
      <c r="I55" s="36">
        <v>32890.044000000002</v>
      </c>
    </row>
    <row r="56" spans="1:9">
      <c r="A56" s="31">
        <v>501344</v>
      </c>
      <c r="B56" s="31">
        <v>200311</v>
      </c>
      <c r="C56" s="31" t="s">
        <v>347</v>
      </c>
      <c r="D56" s="31" t="s">
        <v>1746</v>
      </c>
      <c r="E56" s="31" t="s">
        <v>1727</v>
      </c>
      <c r="F56" s="46">
        <v>43344</v>
      </c>
      <c r="G56" s="40">
        <v>43708</v>
      </c>
      <c r="H56" s="36">
        <v>75000</v>
      </c>
      <c r="I56" s="36">
        <v>24997.5</v>
      </c>
    </row>
    <row r="57" spans="1:9">
      <c r="A57" s="31">
        <v>501349</v>
      </c>
      <c r="B57" s="31">
        <v>208631</v>
      </c>
      <c r="C57" s="31" t="s">
        <v>347</v>
      </c>
      <c r="D57" s="31" t="s">
        <v>330</v>
      </c>
      <c r="E57" s="31" t="s">
        <v>53</v>
      </c>
      <c r="F57" s="46">
        <v>43344</v>
      </c>
      <c r="G57" s="40">
        <v>43708</v>
      </c>
      <c r="H57" s="36">
        <v>216000</v>
      </c>
      <c r="I57" s="36">
        <v>71992.800000000003</v>
      </c>
    </row>
    <row r="58" spans="1:9">
      <c r="A58" s="31">
        <v>501336</v>
      </c>
      <c r="B58" s="31">
        <v>212893</v>
      </c>
      <c r="C58" s="31" t="s">
        <v>347</v>
      </c>
      <c r="D58" s="31" t="s">
        <v>187</v>
      </c>
      <c r="E58" s="31" t="s">
        <v>53</v>
      </c>
      <c r="F58" s="46">
        <v>43344</v>
      </c>
      <c r="G58" s="40">
        <v>43708</v>
      </c>
      <c r="H58" s="36">
        <v>211850</v>
      </c>
      <c r="I58" s="36">
        <v>70609.604999999996</v>
      </c>
    </row>
    <row r="59" spans="1:9">
      <c r="A59" s="31">
        <v>501344</v>
      </c>
      <c r="B59" s="31">
        <v>206595</v>
      </c>
      <c r="C59" s="31" t="s">
        <v>347</v>
      </c>
      <c r="D59" s="31" t="s">
        <v>76</v>
      </c>
      <c r="E59" s="31" t="s">
        <v>1727</v>
      </c>
      <c r="F59" s="46">
        <v>43344</v>
      </c>
      <c r="G59" s="40">
        <v>43708</v>
      </c>
      <c r="H59" s="36">
        <v>75000</v>
      </c>
      <c r="I59" s="36">
        <v>24997.5</v>
      </c>
    </row>
    <row r="60" spans="1:9">
      <c r="A60" s="31">
        <v>501339</v>
      </c>
      <c r="B60" s="31">
        <v>211320</v>
      </c>
      <c r="C60" s="31" t="s">
        <v>347</v>
      </c>
      <c r="D60" s="31" t="s">
        <v>1282</v>
      </c>
      <c r="E60" s="31" t="s">
        <v>1727</v>
      </c>
      <c r="F60" s="46">
        <v>43344</v>
      </c>
      <c r="G60" s="40">
        <v>43708</v>
      </c>
      <c r="H60" s="36">
        <v>104000</v>
      </c>
      <c r="I60" s="36">
        <v>34663.199999999997</v>
      </c>
    </row>
    <row r="61" spans="1:9">
      <c r="A61" s="31">
        <v>501346</v>
      </c>
      <c r="B61" s="31">
        <v>212041</v>
      </c>
      <c r="C61" s="31" t="s">
        <v>347</v>
      </c>
      <c r="D61" s="31" t="s">
        <v>1322</v>
      </c>
      <c r="E61" s="31" t="s">
        <v>82</v>
      </c>
      <c r="F61" s="46">
        <v>43344</v>
      </c>
      <c r="G61" s="40">
        <v>43708</v>
      </c>
      <c r="H61" s="36">
        <v>70000</v>
      </c>
      <c r="I61" s="36">
        <v>23331</v>
      </c>
    </row>
    <row r="62" spans="1:9">
      <c r="A62" s="31">
        <v>501333</v>
      </c>
      <c r="B62" s="31">
        <v>212504</v>
      </c>
      <c r="C62" s="31" t="s">
        <v>347</v>
      </c>
      <c r="D62" s="31" t="s">
        <v>255</v>
      </c>
      <c r="E62" s="31" t="s">
        <v>68</v>
      </c>
      <c r="F62" s="46">
        <v>43344</v>
      </c>
      <c r="G62" s="40">
        <v>43708</v>
      </c>
      <c r="H62" s="36">
        <v>90000</v>
      </c>
      <c r="I62" s="36">
        <v>29997</v>
      </c>
    </row>
    <row r="63" spans="1:9">
      <c r="A63" s="31">
        <v>501332</v>
      </c>
      <c r="B63" s="31">
        <v>212504</v>
      </c>
      <c r="C63" s="31" t="s">
        <v>347</v>
      </c>
      <c r="D63" s="31" t="s">
        <v>255</v>
      </c>
      <c r="E63" s="31" t="s">
        <v>68</v>
      </c>
      <c r="F63" s="46">
        <v>43344</v>
      </c>
      <c r="G63" s="40">
        <v>43708</v>
      </c>
      <c r="H63" s="36">
        <v>60000</v>
      </c>
      <c r="I63" s="36">
        <v>19998</v>
      </c>
    </row>
    <row r="64" spans="1:9">
      <c r="A64" s="31">
        <v>501335</v>
      </c>
      <c r="B64" s="31">
        <v>212561</v>
      </c>
      <c r="C64" s="31" t="s">
        <v>347</v>
      </c>
      <c r="D64" s="31" t="s">
        <v>1358</v>
      </c>
      <c r="E64" s="31" t="s">
        <v>1727</v>
      </c>
      <c r="F64" s="46">
        <v>43344</v>
      </c>
      <c r="G64" s="40">
        <v>43708</v>
      </c>
      <c r="H64" s="36">
        <v>20000</v>
      </c>
      <c r="I64" s="36">
        <v>6666</v>
      </c>
    </row>
    <row r="65" spans="1:9">
      <c r="A65" s="31">
        <v>501340</v>
      </c>
      <c r="B65" s="31">
        <v>206205</v>
      </c>
      <c r="C65" s="31" t="s">
        <v>347</v>
      </c>
      <c r="D65" s="31" t="s">
        <v>199</v>
      </c>
      <c r="E65" s="31" t="s">
        <v>1727</v>
      </c>
      <c r="F65" s="46">
        <v>43344</v>
      </c>
      <c r="G65" s="40">
        <v>43708</v>
      </c>
      <c r="H65" s="36">
        <v>137300</v>
      </c>
      <c r="I65" s="36">
        <v>45762.09</v>
      </c>
    </row>
    <row r="66" spans="1:9">
      <c r="A66" s="31">
        <v>501333</v>
      </c>
      <c r="B66" s="31">
        <v>208748</v>
      </c>
      <c r="C66" s="31" t="s">
        <v>347</v>
      </c>
      <c r="D66" s="31" t="s">
        <v>1747</v>
      </c>
      <c r="E66" s="31" t="s">
        <v>68</v>
      </c>
      <c r="F66" s="46">
        <v>43344</v>
      </c>
      <c r="G66" s="40">
        <v>43708</v>
      </c>
      <c r="H66" s="36">
        <v>45000</v>
      </c>
      <c r="I66" s="36">
        <v>14998.5</v>
      </c>
    </row>
    <row r="67" spans="1:9">
      <c r="A67" s="31">
        <v>501333</v>
      </c>
      <c r="B67" s="31">
        <v>205818</v>
      </c>
      <c r="C67" s="31" t="s">
        <v>347</v>
      </c>
      <c r="D67" s="31" t="s">
        <v>836</v>
      </c>
      <c r="E67" s="31" t="s">
        <v>1727</v>
      </c>
      <c r="F67" s="46">
        <v>43344</v>
      </c>
      <c r="G67" s="40">
        <v>43708</v>
      </c>
      <c r="H67" s="36">
        <v>60000</v>
      </c>
      <c r="I67" s="36">
        <v>19998</v>
      </c>
    </row>
    <row r="68" spans="1:9">
      <c r="A68" s="31">
        <v>501334</v>
      </c>
      <c r="B68" s="31">
        <v>205818</v>
      </c>
      <c r="C68" s="31" t="s">
        <v>347</v>
      </c>
      <c r="D68" s="31" t="s">
        <v>836</v>
      </c>
      <c r="E68" s="31" t="s">
        <v>1727</v>
      </c>
      <c r="F68" s="46">
        <v>43344</v>
      </c>
      <c r="G68" s="40">
        <v>43708</v>
      </c>
      <c r="H68" s="36">
        <v>56000</v>
      </c>
      <c r="I68" s="36">
        <v>18664.8</v>
      </c>
    </row>
    <row r="69" spans="1:9">
      <c r="A69" s="31">
        <v>501332</v>
      </c>
      <c r="B69" s="31">
        <v>205818</v>
      </c>
      <c r="C69" s="31" t="s">
        <v>347</v>
      </c>
      <c r="D69" s="31" t="s">
        <v>836</v>
      </c>
      <c r="E69" s="31" t="s">
        <v>1727</v>
      </c>
      <c r="F69" s="46">
        <v>43344</v>
      </c>
      <c r="G69" s="40">
        <v>43708</v>
      </c>
      <c r="H69" s="36">
        <v>25000</v>
      </c>
      <c r="I69" s="36">
        <v>8332.5</v>
      </c>
    </row>
    <row r="70" spans="1:9">
      <c r="A70" s="31">
        <v>501333</v>
      </c>
      <c r="B70" s="31">
        <v>203820</v>
      </c>
      <c r="C70" s="31" t="s">
        <v>347</v>
      </c>
      <c r="D70" s="31" t="s">
        <v>106</v>
      </c>
      <c r="E70" s="31" t="s">
        <v>1727</v>
      </c>
      <c r="F70" s="46">
        <v>43344</v>
      </c>
      <c r="G70" s="40">
        <v>43708</v>
      </c>
      <c r="H70" s="36">
        <v>90000</v>
      </c>
      <c r="I70" s="36">
        <v>29997</v>
      </c>
    </row>
    <row r="71" spans="1:9">
      <c r="A71" s="31">
        <v>501341</v>
      </c>
      <c r="B71" s="31">
        <v>203820</v>
      </c>
      <c r="C71" s="31" t="s">
        <v>347</v>
      </c>
      <c r="D71" s="31" t="s">
        <v>106</v>
      </c>
      <c r="E71" s="31" t="s">
        <v>1727</v>
      </c>
      <c r="F71" s="46">
        <v>43344</v>
      </c>
      <c r="G71" s="40">
        <v>43708</v>
      </c>
      <c r="H71" s="36">
        <v>134724</v>
      </c>
      <c r="I71" s="36">
        <v>44903.5092</v>
      </c>
    </row>
    <row r="72" spans="1:9">
      <c r="A72" s="31">
        <v>501349</v>
      </c>
      <c r="B72" s="31">
        <v>208609</v>
      </c>
      <c r="C72" s="31" t="s">
        <v>347</v>
      </c>
      <c r="D72" s="31" t="s">
        <v>332</v>
      </c>
      <c r="E72" s="31" t="s">
        <v>82</v>
      </c>
      <c r="F72" s="46">
        <v>43344</v>
      </c>
      <c r="G72" s="40">
        <v>43708</v>
      </c>
      <c r="H72" s="36">
        <v>90000</v>
      </c>
      <c r="I72" s="36">
        <v>29997</v>
      </c>
    </row>
    <row r="73" spans="1:9">
      <c r="A73" s="31">
        <v>501341</v>
      </c>
      <c r="B73" s="31">
        <v>208609</v>
      </c>
      <c r="C73" s="31" t="s">
        <v>347</v>
      </c>
      <c r="D73" s="31" t="s">
        <v>332</v>
      </c>
      <c r="E73" s="31" t="s">
        <v>82</v>
      </c>
      <c r="F73" s="46">
        <v>43344</v>
      </c>
      <c r="G73" s="40">
        <v>43708</v>
      </c>
      <c r="H73" s="36">
        <v>18000</v>
      </c>
      <c r="I73" s="36">
        <v>5999.4</v>
      </c>
    </row>
    <row r="74" spans="1:9">
      <c r="A74" s="31">
        <v>501342</v>
      </c>
      <c r="B74" s="31">
        <v>208609</v>
      </c>
      <c r="C74" s="31" t="s">
        <v>347</v>
      </c>
      <c r="D74" s="31" t="s">
        <v>332</v>
      </c>
      <c r="E74" s="31" t="s">
        <v>82</v>
      </c>
      <c r="F74" s="46">
        <v>43344</v>
      </c>
      <c r="G74" s="40">
        <v>43708</v>
      </c>
      <c r="H74" s="36">
        <v>180000</v>
      </c>
      <c r="I74" s="36">
        <v>59994</v>
      </c>
    </row>
    <row r="75" spans="1:9">
      <c r="A75" s="47">
        <v>501342</v>
      </c>
      <c r="B75" s="48">
        <v>208609</v>
      </c>
      <c r="C75" s="47" t="s">
        <v>347</v>
      </c>
      <c r="D75" s="49" t="s">
        <v>1748</v>
      </c>
      <c r="E75" s="49" t="s">
        <v>82</v>
      </c>
      <c r="F75" s="50">
        <v>43344</v>
      </c>
      <c r="G75" s="50">
        <v>43708</v>
      </c>
      <c r="H75" s="51">
        <v>5000</v>
      </c>
      <c r="I75" s="51">
        <v>1666.5</v>
      </c>
    </row>
    <row r="76" spans="1:9">
      <c r="A76" s="31">
        <v>501349</v>
      </c>
      <c r="B76" s="31">
        <v>208616</v>
      </c>
      <c r="C76" s="31" t="s">
        <v>347</v>
      </c>
      <c r="D76" s="31" t="s">
        <v>69</v>
      </c>
      <c r="E76" s="31" t="s">
        <v>53</v>
      </c>
      <c r="F76" s="46">
        <v>43344</v>
      </c>
      <c r="G76" s="40">
        <v>43708</v>
      </c>
      <c r="H76" s="36">
        <v>21100</v>
      </c>
      <c r="I76" s="36">
        <v>7032.63</v>
      </c>
    </row>
    <row r="77" spans="1:9">
      <c r="A77" s="31">
        <v>501343</v>
      </c>
      <c r="B77" s="31">
        <v>208616</v>
      </c>
      <c r="C77" s="31" t="s">
        <v>347</v>
      </c>
      <c r="D77" s="31" t="s">
        <v>69</v>
      </c>
      <c r="E77" s="31" t="s">
        <v>53</v>
      </c>
      <c r="F77" s="46">
        <v>43344</v>
      </c>
      <c r="G77" s="40">
        <v>43708</v>
      </c>
      <c r="H77" s="36">
        <v>61750</v>
      </c>
      <c r="I77" s="36">
        <v>20581.274999999998</v>
      </c>
    </row>
    <row r="78" spans="1:9">
      <c r="A78" s="31">
        <v>501337</v>
      </c>
      <c r="B78" s="31">
        <v>208379</v>
      </c>
      <c r="C78" s="31" t="s">
        <v>347</v>
      </c>
      <c r="D78" s="31" t="s">
        <v>92</v>
      </c>
      <c r="E78" s="31" t="s">
        <v>1727</v>
      </c>
      <c r="F78" s="46">
        <v>43344</v>
      </c>
      <c r="G78" s="40">
        <v>43708</v>
      </c>
      <c r="H78" s="36">
        <v>55000</v>
      </c>
      <c r="I78" s="36">
        <v>18331.5</v>
      </c>
    </row>
    <row r="79" spans="1:9">
      <c r="A79" s="31">
        <v>501339</v>
      </c>
      <c r="B79" s="31">
        <v>208379</v>
      </c>
      <c r="C79" s="31" t="s">
        <v>347</v>
      </c>
      <c r="D79" s="31" t="s">
        <v>92</v>
      </c>
      <c r="E79" s="31" t="s">
        <v>1727</v>
      </c>
      <c r="F79" s="46">
        <v>43344</v>
      </c>
      <c r="G79" s="40">
        <v>43708</v>
      </c>
      <c r="H79" s="36">
        <v>91000</v>
      </c>
      <c r="I79" s="36">
        <v>30330.3</v>
      </c>
    </row>
    <row r="80" spans="1:9">
      <c r="A80" s="31">
        <v>501339</v>
      </c>
      <c r="B80" s="31">
        <v>211534</v>
      </c>
      <c r="C80" s="31" t="s">
        <v>347</v>
      </c>
      <c r="D80" s="31" t="s">
        <v>1297</v>
      </c>
      <c r="E80" s="31" t="s">
        <v>68</v>
      </c>
      <c r="F80" s="46">
        <v>43344</v>
      </c>
      <c r="G80" s="40">
        <v>43708</v>
      </c>
      <c r="H80" s="36">
        <v>121477</v>
      </c>
      <c r="I80" s="36">
        <v>40488.284099999997</v>
      </c>
    </row>
    <row r="81" spans="1:9">
      <c r="A81" s="31">
        <v>501348</v>
      </c>
      <c r="B81" s="31">
        <v>211534</v>
      </c>
      <c r="C81" s="31" t="s">
        <v>347</v>
      </c>
      <c r="D81" s="31" t="s">
        <v>1297</v>
      </c>
      <c r="E81" s="31" t="s">
        <v>68</v>
      </c>
      <c r="F81" s="46">
        <v>43344</v>
      </c>
      <c r="G81" s="40">
        <v>43708</v>
      </c>
      <c r="H81" s="36">
        <v>25000</v>
      </c>
      <c r="I81" s="36">
        <v>8332.5</v>
      </c>
    </row>
    <row r="82" spans="1:9">
      <c r="A82" s="31">
        <v>501348</v>
      </c>
      <c r="B82" s="31">
        <v>212343</v>
      </c>
      <c r="C82" s="31" t="s">
        <v>347</v>
      </c>
      <c r="D82" s="31" t="s">
        <v>323</v>
      </c>
      <c r="E82" s="31" t="s">
        <v>82</v>
      </c>
      <c r="F82" s="46">
        <v>43344</v>
      </c>
      <c r="G82" s="40">
        <v>43708</v>
      </c>
      <c r="H82" s="36">
        <v>148000</v>
      </c>
      <c r="I82" s="36">
        <v>49328.399999999994</v>
      </c>
    </row>
    <row r="83" spans="1:9">
      <c r="A83" s="31">
        <v>501339</v>
      </c>
      <c r="B83" s="31">
        <v>211894</v>
      </c>
      <c r="C83" s="31" t="s">
        <v>347</v>
      </c>
      <c r="D83" s="31" t="s">
        <v>1310</v>
      </c>
      <c r="E83" s="31" t="s">
        <v>1727</v>
      </c>
      <c r="F83" s="46">
        <v>43344</v>
      </c>
      <c r="G83" s="40">
        <v>43708</v>
      </c>
      <c r="H83" s="36">
        <v>106000</v>
      </c>
      <c r="I83" s="36">
        <v>35329.799999999996</v>
      </c>
    </row>
    <row r="84" spans="1:9">
      <c r="A84" s="31">
        <v>501342</v>
      </c>
      <c r="B84" s="31">
        <v>208618</v>
      </c>
      <c r="C84" s="31" t="s">
        <v>347</v>
      </c>
      <c r="D84" s="31" t="s">
        <v>1065</v>
      </c>
      <c r="E84" s="31" t="s">
        <v>68</v>
      </c>
      <c r="F84" s="46">
        <v>43344</v>
      </c>
      <c r="G84" s="40">
        <v>43708</v>
      </c>
      <c r="H84" s="36">
        <v>108951</v>
      </c>
      <c r="I84" s="36">
        <v>36313.368300000002</v>
      </c>
    </row>
    <row r="85" spans="1:9">
      <c r="A85" s="31">
        <v>501333</v>
      </c>
      <c r="B85" s="31">
        <v>208809</v>
      </c>
      <c r="C85" s="31" t="s">
        <v>347</v>
      </c>
      <c r="D85" s="31" t="s">
        <v>1126</v>
      </c>
      <c r="E85" s="31" t="s">
        <v>53</v>
      </c>
      <c r="F85" s="46">
        <v>43344</v>
      </c>
      <c r="G85" s="40">
        <v>43708</v>
      </c>
      <c r="H85" s="36">
        <v>143491</v>
      </c>
      <c r="I85" s="36">
        <v>47825.550299999995</v>
      </c>
    </row>
    <row r="86" spans="1:9">
      <c r="A86" s="31">
        <v>501346</v>
      </c>
      <c r="B86" s="31">
        <v>208612</v>
      </c>
      <c r="C86" s="31" t="s">
        <v>347</v>
      </c>
      <c r="D86" s="31" t="s">
        <v>1042</v>
      </c>
      <c r="E86" s="31" t="s">
        <v>1727</v>
      </c>
      <c r="F86" s="46">
        <v>43344</v>
      </c>
      <c r="G86" s="40">
        <v>43708</v>
      </c>
      <c r="H86" s="36">
        <v>44000</v>
      </c>
      <c r="I86" s="36">
        <v>14665.199999999999</v>
      </c>
    </row>
    <row r="87" spans="1:9">
      <c r="A87" s="31">
        <v>501344</v>
      </c>
      <c r="B87" s="31">
        <v>208607</v>
      </c>
      <c r="C87" s="31" t="s">
        <v>347</v>
      </c>
      <c r="D87" s="31" t="s">
        <v>1749</v>
      </c>
      <c r="E87" s="31" t="s">
        <v>53</v>
      </c>
      <c r="F87" s="46">
        <v>43344</v>
      </c>
      <c r="G87" s="40">
        <v>43708</v>
      </c>
      <c r="H87" s="36">
        <v>143313</v>
      </c>
      <c r="I87" s="36">
        <v>47766.222900000001</v>
      </c>
    </row>
    <row r="88" spans="1:9">
      <c r="A88" s="31">
        <v>501345</v>
      </c>
      <c r="B88" s="31">
        <v>203832</v>
      </c>
      <c r="C88" s="31" t="s">
        <v>347</v>
      </c>
      <c r="D88" s="31" t="s">
        <v>804</v>
      </c>
      <c r="E88" s="31" t="s">
        <v>1727</v>
      </c>
      <c r="F88" s="46">
        <v>43344</v>
      </c>
      <c r="G88" s="40">
        <v>43708</v>
      </c>
      <c r="H88" s="36">
        <v>43000</v>
      </c>
      <c r="I88" s="36">
        <v>14331.9</v>
      </c>
    </row>
    <row r="89" spans="1:9">
      <c r="A89" s="31">
        <v>501348</v>
      </c>
      <c r="B89" s="31">
        <v>207172</v>
      </c>
      <c r="C89" s="31" t="s">
        <v>347</v>
      </c>
      <c r="D89" s="31" t="s">
        <v>930</v>
      </c>
      <c r="E89" s="31" t="s">
        <v>1727</v>
      </c>
      <c r="F89" s="46">
        <v>43344</v>
      </c>
      <c r="G89" s="40">
        <v>43708</v>
      </c>
      <c r="H89" s="36">
        <v>25000</v>
      </c>
      <c r="I89" s="36">
        <v>8332.5</v>
      </c>
    </row>
    <row r="90" spans="1:9">
      <c r="A90" s="31">
        <v>501348</v>
      </c>
      <c r="B90" s="31">
        <v>208620</v>
      </c>
      <c r="C90" s="31" t="s">
        <v>347</v>
      </c>
      <c r="D90" s="31" t="s">
        <v>1070</v>
      </c>
      <c r="E90" s="31" t="s">
        <v>82</v>
      </c>
      <c r="F90" s="46">
        <v>43344</v>
      </c>
      <c r="G90" s="40">
        <v>43708</v>
      </c>
      <c r="H90" s="36">
        <v>43500</v>
      </c>
      <c r="I90" s="36">
        <v>14498.55</v>
      </c>
    </row>
    <row r="91" spans="1:9">
      <c r="A91" s="31">
        <v>501344</v>
      </c>
      <c r="B91" s="31">
        <v>202616</v>
      </c>
      <c r="C91" s="31" t="s">
        <v>347</v>
      </c>
      <c r="D91" s="31" t="s">
        <v>1750</v>
      </c>
      <c r="E91" s="31" t="s">
        <v>1727</v>
      </c>
      <c r="F91" s="46">
        <v>43344</v>
      </c>
      <c r="G91" s="40">
        <v>43708</v>
      </c>
      <c r="H91" s="36">
        <v>260000</v>
      </c>
      <c r="I91" s="36">
        <v>86658</v>
      </c>
    </row>
    <row r="92" spans="1:9">
      <c r="A92" s="31">
        <v>501335</v>
      </c>
      <c r="B92" s="31" t="s">
        <v>1751</v>
      </c>
      <c r="C92" s="31" t="s">
        <v>347</v>
      </c>
      <c r="D92" s="31" t="s">
        <v>1038</v>
      </c>
      <c r="E92" s="31" t="s">
        <v>53</v>
      </c>
      <c r="F92" s="46">
        <v>43344</v>
      </c>
      <c r="G92" s="40">
        <v>43708</v>
      </c>
      <c r="H92" s="36">
        <v>15000</v>
      </c>
      <c r="I92" s="36">
        <v>4999.5</v>
      </c>
    </row>
    <row r="93" spans="1:9">
      <c r="A93" s="47">
        <v>501345</v>
      </c>
      <c r="B93" s="48">
        <v>201921</v>
      </c>
      <c r="C93" s="47" t="s">
        <v>347</v>
      </c>
      <c r="D93" s="49" t="s">
        <v>1752</v>
      </c>
      <c r="E93" s="49" t="s">
        <v>1727</v>
      </c>
      <c r="F93" s="50">
        <v>42979</v>
      </c>
      <c r="G93" s="50">
        <v>43343</v>
      </c>
      <c r="H93" s="51">
        <v>10000</v>
      </c>
      <c r="I93" s="51">
        <v>3333</v>
      </c>
    </row>
    <row r="94" spans="1:9">
      <c r="A94" s="31">
        <v>501345</v>
      </c>
      <c r="B94" s="31">
        <v>201921</v>
      </c>
      <c r="C94" s="31" t="s">
        <v>347</v>
      </c>
      <c r="D94" s="31" t="s">
        <v>1752</v>
      </c>
      <c r="E94" s="31" t="s">
        <v>1727</v>
      </c>
      <c r="F94" s="46">
        <v>43344</v>
      </c>
      <c r="G94" s="40">
        <v>43708</v>
      </c>
      <c r="H94" s="36">
        <v>126500</v>
      </c>
      <c r="I94" s="36">
        <v>42162.45</v>
      </c>
    </row>
    <row r="95" spans="1:9">
      <c r="A95" s="31">
        <v>501341</v>
      </c>
      <c r="B95" s="31">
        <v>201921</v>
      </c>
      <c r="C95" s="31" t="s">
        <v>347</v>
      </c>
      <c r="D95" s="31" t="s">
        <v>1752</v>
      </c>
      <c r="E95" s="31" t="s">
        <v>1727</v>
      </c>
      <c r="F95" s="46">
        <v>43344</v>
      </c>
      <c r="G95" s="40">
        <v>43708</v>
      </c>
      <c r="H95" s="36">
        <v>101009</v>
      </c>
      <c r="I95" s="36">
        <v>33666.299699999996</v>
      </c>
    </row>
    <row r="96" spans="1:9">
      <c r="A96" s="31">
        <v>501336</v>
      </c>
      <c r="B96" s="31">
        <v>201921</v>
      </c>
      <c r="C96" s="31" t="s">
        <v>347</v>
      </c>
      <c r="D96" s="31" t="s">
        <v>1752</v>
      </c>
      <c r="E96" s="31" t="s">
        <v>1727</v>
      </c>
      <c r="F96" s="46">
        <v>43344</v>
      </c>
      <c r="G96" s="40">
        <v>43708</v>
      </c>
      <c r="H96" s="36">
        <v>85000</v>
      </c>
      <c r="I96" s="36">
        <v>28330.5</v>
      </c>
    </row>
    <row r="97" spans="1:9">
      <c r="A97" s="31">
        <v>501333</v>
      </c>
      <c r="B97" s="31">
        <v>212630</v>
      </c>
      <c r="C97" s="31" t="s">
        <v>347</v>
      </c>
      <c r="D97" s="31" t="s">
        <v>1363</v>
      </c>
      <c r="E97" s="31" t="s">
        <v>1727</v>
      </c>
      <c r="F97" s="46">
        <v>43344</v>
      </c>
      <c r="G97" s="40">
        <v>43708</v>
      </c>
      <c r="H97" s="36">
        <v>90000</v>
      </c>
      <c r="I97" s="36">
        <v>29997</v>
      </c>
    </row>
    <row r="98" spans="1:9">
      <c r="A98" s="31">
        <v>501346</v>
      </c>
      <c r="B98" s="31">
        <v>203615</v>
      </c>
      <c r="C98" s="31" t="s">
        <v>347</v>
      </c>
      <c r="D98" s="31" t="s">
        <v>1753</v>
      </c>
      <c r="E98" s="31" t="s">
        <v>1727</v>
      </c>
      <c r="F98" s="46">
        <v>43344</v>
      </c>
      <c r="G98" s="40">
        <v>43708</v>
      </c>
      <c r="H98" s="36">
        <v>195000</v>
      </c>
      <c r="I98" s="36">
        <v>64993.5</v>
      </c>
    </row>
    <row r="99" spans="1:9">
      <c r="A99" s="47">
        <v>501346</v>
      </c>
      <c r="B99" s="48">
        <v>203615</v>
      </c>
      <c r="C99" s="47" t="s">
        <v>347</v>
      </c>
      <c r="D99" s="49" t="s">
        <v>1754</v>
      </c>
      <c r="E99" s="49" t="s">
        <v>1727</v>
      </c>
      <c r="F99" s="50">
        <v>42979</v>
      </c>
      <c r="G99" s="50">
        <v>43343</v>
      </c>
      <c r="H99" s="51">
        <v>5000</v>
      </c>
      <c r="I99" s="51">
        <v>1666.5</v>
      </c>
    </row>
    <row r="100" spans="1:9">
      <c r="A100" s="31">
        <v>501349</v>
      </c>
      <c r="B100" s="31">
        <v>211134</v>
      </c>
      <c r="C100" s="31" t="s">
        <v>347</v>
      </c>
      <c r="D100" s="31" t="s">
        <v>1755</v>
      </c>
      <c r="E100" s="31" t="s">
        <v>1727</v>
      </c>
      <c r="F100" s="46">
        <v>43344</v>
      </c>
      <c r="G100" s="40">
        <v>43708</v>
      </c>
      <c r="H100" s="36">
        <v>15400</v>
      </c>
      <c r="I100" s="36">
        <v>5132.82</v>
      </c>
    </row>
    <row r="101" spans="1:9">
      <c r="A101" s="31">
        <v>501333</v>
      </c>
      <c r="B101" s="31">
        <v>211134</v>
      </c>
      <c r="C101" s="31" t="s">
        <v>347</v>
      </c>
      <c r="D101" s="31" t="s">
        <v>1755</v>
      </c>
      <c r="E101" s="31" t="s">
        <v>1727</v>
      </c>
      <c r="F101" s="46">
        <v>43344</v>
      </c>
      <c r="G101" s="40">
        <v>43708</v>
      </c>
      <c r="H101" s="36">
        <v>75000</v>
      </c>
      <c r="I101" s="36">
        <v>24997.5</v>
      </c>
    </row>
    <row r="102" spans="1:9">
      <c r="A102" s="31">
        <v>501345</v>
      </c>
      <c r="B102" s="31" t="s">
        <v>1756</v>
      </c>
      <c r="C102" s="31" t="s">
        <v>347</v>
      </c>
      <c r="D102" s="31" t="s">
        <v>1755</v>
      </c>
      <c r="E102" s="31" t="s">
        <v>1727</v>
      </c>
      <c r="F102" s="46">
        <v>43344</v>
      </c>
      <c r="G102" s="40">
        <v>43708</v>
      </c>
      <c r="H102" s="36">
        <v>143178</v>
      </c>
      <c r="I102" s="36">
        <v>47721.227399999996</v>
      </c>
    </row>
    <row r="103" spans="1:9">
      <c r="A103" s="31">
        <v>501343</v>
      </c>
      <c r="B103" s="31">
        <v>211134</v>
      </c>
      <c r="C103" s="31" t="s">
        <v>347</v>
      </c>
      <c r="D103" s="31" t="s">
        <v>1755</v>
      </c>
      <c r="E103" s="31" t="s">
        <v>1727</v>
      </c>
      <c r="F103" s="46">
        <v>43344</v>
      </c>
      <c r="G103" s="40">
        <v>43708</v>
      </c>
      <c r="H103" s="36">
        <v>13000</v>
      </c>
      <c r="I103" s="36">
        <v>4332.8999999999996</v>
      </c>
    </row>
    <row r="104" spans="1:9">
      <c r="A104" s="31">
        <v>501343</v>
      </c>
      <c r="B104" s="31">
        <v>208750</v>
      </c>
      <c r="C104" s="31" t="s">
        <v>347</v>
      </c>
      <c r="D104" s="31" t="s">
        <v>335</v>
      </c>
      <c r="E104" s="31" t="s">
        <v>53</v>
      </c>
      <c r="F104" s="46">
        <v>43344</v>
      </c>
      <c r="G104" s="40">
        <v>43708</v>
      </c>
      <c r="H104" s="36">
        <v>61725</v>
      </c>
      <c r="I104" s="36">
        <v>20572.942499999997</v>
      </c>
    </row>
    <row r="105" spans="1:9">
      <c r="A105" s="31">
        <v>501347</v>
      </c>
      <c r="B105" s="31">
        <v>203561</v>
      </c>
      <c r="C105" s="31" t="s">
        <v>347</v>
      </c>
      <c r="D105" s="31" t="s">
        <v>317</v>
      </c>
      <c r="E105" s="31" t="s">
        <v>53</v>
      </c>
      <c r="F105" s="46">
        <v>43344</v>
      </c>
      <c r="G105" s="40">
        <v>43708</v>
      </c>
      <c r="H105" s="36">
        <v>80190</v>
      </c>
      <c r="I105" s="36">
        <v>26727.326999999997</v>
      </c>
    </row>
    <row r="106" spans="1:9">
      <c r="A106" s="31">
        <v>501342</v>
      </c>
      <c r="B106" s="31">
        <v>203561</v>
      </c>
      <c r="C106" s="31" t="s">
        <v>347</v>
      </c>
      <c r="D106" s="31" t="s">
        <v>317</v>
      </c>
      <c r="E106" s="31" t="s">
        <v>53</v>
      </c>
      <c r="F106" s="46">
        <v>43344</v>
      </c>
      <c r="G106" s="40">
        <v>43708</v>
      </c>
      <c r="H106" s="36">
        <v>72509</v>
      </c>
      <c r="I106" s="36">
        <v>24167.2497</v>
      </c>
    </row>
    <row r="107" spans="1:9">
      <c r="A107" s="47">
        <v>501347</v>
      </c>
      <c r="B107" s="48">
        <v>203561</v>
      </c>
      <c r="C107" s="47" t="s">
        <v>347</v>
      </c>
      <c r="D107" s="49" t="s">
        <v>1757</v>
      </c>
      <c r="E107" s="49" t="s">
        <v>53</v>
      </c>
      <c r="F107" s="50">
        <v>43344</v>
      </c>
      <c r="G107" s="50">
        <v>43708</v>
      </c>
      <c r="H107" s="51">
        <v>5000</v>
      </c>
      <c r="I107" s="51">
        <v>1666.5</v>
      </c>
    </row>
    <row r="108" spans="1:9">
      <c r="A108" s="31">
        <v>501345</v>
      </c>
      <c r="B108" s="31">
        <v>208810</v>
      </c>
      <c r="C108" s="31" t="s">
        <v>347</v>
      </c>
      <c r="D108" s="31" t="s">
        <v>194</v>
      </c>
      <c r="E108" s="31" t="s">
        <v>53</v>
      </c>
      <c r="F108" s="46">
        <v>43344</v>
      </c>
      <c r="G108" s="40">
        <v>43708</v>
      </c>
      <c r="H108" s="36">
        <v>191702</v>
      </c>
      <c r="I108" s="36">
        <v>63894.276599999997</v>
      </c>
    </row>
    <row r="109" spans="1:9">
      <c r="A109" s="31">
        <v>501333</v>
      </c>
      <c r="B109" s="31">
        <v>205839</v>
      </c>
      <c r="C109" s="31" t="s">
        <v>347</v>
      </c>
      <c r="D109" s="31" t="s">
        <v>842</v>
      </c>
      <c r="E109" s="31" t="s">
        <v>1727</v>
      </c>
      <c r="F109" s="46">
        <v>43344</v>
      </c>
      <c r="G109" s="40">
        <v>43708</v>
      </c>
      <c r="H109" s="36">
        <v>92024</v>
      </c>
      <c r="I109" s="36">
        <v>30671.599199999997</v>
      </c>
    </row>
    <row r="110" spans="1:9">
      <c r="A110" s="31">
        <v>501333</v>
      </c>
      <c r="B110" s="31" t="s">
        <v>1758</v>
      </c>
      <c r="C110" s="31" t="s">
        <v>347</v>
      </c>
      <c r="D110" s="31" t="s">
        <v>1335</v>
      </c>
      <c r="E110" s="31" t="s">
        <v>68</v>
      </c>
      <c r="F110" s="46">
        <v>43344</v>
      </c>
      <c r="G110" s="40">
        <v>43708</v>
      </c>
      <c r="H110" s="36">
        <v>40000</v>
      </c>
      <c r="I110" s="36">
        <v>13332</v>
      </c>
    </row>
    <row r="111" spans="1:9">
      <c r="A111" s="31">
        <v>501335</v>
      </c>
      <c r="B111" s="31">
        <v>212211</v>
      </c>
      <c r="C111" s="31" t="s">
        <v>347</v>
      </c>
      <c r="D111" s="31" t="s">
        <v>1335</v>
      </c>
      <c r="E111" s="31" t="s">
        <v>68</v>
      </c>
      <c r="F111" s="46">
        <v>43344</v>
      </c>
      <c r="G111" s="40">
        <v>43708</v>
      </c>
      <c r="H111" s="36">
        <v>35394</v>
      </c>
      <c r="I111" s="36">
        <v>11796.8202</v>
      </c>
    </row>
    <row r="112" spans="1:9">
      <c r="A112" s="31">
        <v>501348</v>
      </c>
      <c r="B112" s="31">
        <v>210089</v>
      </c>
      <c r="C112" s="31" t="s">
        <v>347</v>
      </c>
      <c r="D112" s="31" t="s">
        <v>325</v>
      </c>
      <c r="E112" s="31" t="s">
        <v>82</v>
      </c>
      <c r="F112" s="46">
        <v>43344</v>
      </c>
      <c r="G112" s="40">
        <v>43708</v>
      </c>
      <c r="H112" s="36">
        <v>230671</v>
      </c>
      <c r="I112" s="36">
        <v>76882.6443</v>
      </c>
    </row>
    <row r="113" spans="1:9">
      <c r="A113" s="31">
        <v>501346</v>
      </c>
      <c r="B113" s="31">
        <v>203143</v>
      </c>
      <c r="C113" s="31" t="s">
        <v>347</v>
      </c>
      <c r="D113" s="32" t="s">
        <v>1759</v>
      </c>
      <c r="E113" s="32" t="s">
        <v>1727</v>
      </c>
      <c r="F113" s="35">
        <v>43344</v>
      </c>
      <c r="G113" s="35">
        <v>43708</v>
      </c>
      <c r="H113" s="36">
        <v>30000</v>
      </c>
      <c r="I113" s="36">
        <v>9999</v>
      </c>
    </row>
    <row r="114" spans="1:9">
      <c r="A114" s="31">
        <v>501348</v>
      </c>
      <c r="B114" s="31">
        <v>203143</v>
      </c>
      <c r="C114" s="31" t="s">
        <v>347</v>
      </c>
      <c r="D114" s="31" t="s">
        <v>1759</v>
      </c>
      <c r="E114" s="31" t="s">
        <v>1727</v>
      </c>
      <c r="F114" s="46">
        <v>43344</v>
      </c>
      <c r="G114" s="40">
        <v>43708</v>
      </c>
      <c r="H114" s="36">
        <v>75000</v>
      </c>
      <c r="I114" s="36">
        <v>24997.5</v>
      </c>
    </row>
    <row r="115" spans="1:9">
      <c r="A115" s="31">
        <v>501349</v>
      </c>
      <c r="B115" s="31">
        <v>200037</v>
      </c>
      <c r="C115" s="31" t="s">
        <v>347</v>
      </c>
      <c r="D115" s="31" t="s">
        <v>1760</v>
      </c>
      <c r="E115" s="31" t="s">
        <v>75</v>
      </c>
      <c r="F115" s="46">
        <v>43344</v>
      </c>
      <c r="G115" s="40">
        <v>43708</v>
      </c>
      <c r="H115" s="36">
        <v>100000</v>
      </c>
      <c r="I115" s="36">
        <v>33330</v>
      </c>
    </row>
    <row r="116" spans="1:9">
      <c r="A116" s="31">
        <v>504877</v>
      </c>
      <c r="B116" s="31">
        <v>209194</v>
      </c>
      <c r="C116" s="31" t="s">
        <v>8</v>
      </c>
      <c r="D116" s="39" t="s">
        <v>1607</v>
      </c>
      <c r="E116" s="39" t="s">
        <v>1727</v>
      </c>
      <c r="F116" s="35">
        <v>43191</v>
      </c>
      <c r="G116" s="35">
        <v>43921</v>
      </c>
      <c r="H116" s="36">
        <v>430880</v>
      </c>
      <c r="I116" s="36">
        <v>143612.304</v>
      </c>
    </row>
    <row r="117" spans="1:9">
      <c r="A117" s="31">
        <v>504878</v>
      </c>
      <c r="B117" s="31">
        <v>209194</v>
      </c>
      <c r="C117" s="31" t="s">
        <v>8</v>
      </c>
      <c r="D117" s="39" t="s">
        <v>1607</v>
      </c>
      <c r="E117" s="39" t="s">
        <v>1727</v>
      </c>
      <c r="F117" s="35">
        <v>43191</v>
      </c>
      <c r="G117" s="35">
        <v>43921</v>
      </c>
      <c r="H117" s="36">
        <v>55600</v>
      </c>
      <c r="I117" s="36">
        <v>18531.48</v>
      </c>
    </row>
    <row r="118" spans="1:9">
      <c r="A118" s="31">
        <v>504879</v>
      </c>
      <c r="B118" s="31">
        <v>108196</v>
      </c>
      <c r="C118" s="31" t="s">
        <v>8</v>
      </c>
      <c r="D118" s="39" t="s">
        <v>1607</v>
      </c>
      <c r="E118" s="39" t="s">
        <v>1727</v>
      </c>
      <c r="F118" s="35">
        <v>43191</v>
      </c>
      <c r="G118" s="35">
        <v>43738</v>
      </c>
      <c r="H118" s="36">
        <v>69120</v>
      </c>
      <c r="I118" s="36">
        <v>23037.696</v>
      </c>
    </row>
    <row r="119" spans="1:9">
      <c r="A119" s="31">
        <v>504875</v>
      </c>
      <c r="B119" s="52">
        <v>209210</v>
      </c>
      <c r="C119" s="52" t="s">
        <v>8</v>
      </c>
      <c r="D119" s="39" t="s">
        <v>1605</v>
      </c>
      <c r="E119" s="39" t="s">
        <v>68</v>
      </c>
      <c r="F119" s="35">
        <v>43070</v>
      </c>
      <c r="G119" s="35">
        <v>44165</v>
      </c>
      <c r="H119" s="36">
        <v>150000</v>
      </c>
      <c r="I119" s="36">
        <v>49995</v>
      </c>
    </row>
    <row r="120" spans="1:9">
      <c r="A120" s="31">
        <v>504839</v>
      </c>
      <c r="B120" s="52">
        <v>209210</v>
      </c>
      <c r="C120" s="52" t="s">
        <v>8</v>
      </c>
      <c r="D120" s="39" t="s">
        <v>1604</v>
      </c>
      <c r="E120" s="39" t="s">
        <v>68</v>
      </c>
      <c r="F120" s="35">
        <v>43070</v>
      </c>
      <c r="G120" s="35">
        <v>44165</v>
      </c>
      <c r="H120" s="36">
        <v>850000</v>
      </c>
      <c r="I120" s="36">
        <v>283305</v>
      </c>
    </row>
    <row r="121" spans="1:9">
      <c r="A121" s="31">
        <v>505362</v>
      </c>
      <c r="B121" s="31">
        <v>209346</v>
      </c>
      <c r="C121" s="31" t="s">
        <v>8</v>
      </c>
      <c r="D121" s="31" t="s">
        <v>130</v>
      </c>
      <c r="E121" s="32" t="s">
        <v>53</v>
      </c>
      <c r="F121" s="35">
        <v>43282</v>
      </c>
      <c r="G121" s="35">
        <v>43555</v>
      </c>
      <c r="H121" s="36">
        <v>150000</v>
      </c>
      <c r="I121" s="36">
        <v>49995</v>
      </c>
    </row>
    <row r="122" spans="1:9">
      <c r="A122" s="31">
        <v>505749</v>
      </c>
      <c r="B122" s="31">
        <v>209403</v>
      </c>
      <c r="C122" s="31" t="s">
        <v>8</v>
      </c>
      <c r="D122" s="31" t="s">
        <v>62</v>
      </c>
      <c r="E122" s="32" t="s">
        <v>53</v>
      </c>
      <c r="F122" s="35">
        <v>43313</v>
      </c>
      <c r="G122" s="35">
        <v>43555</v>
      </c>
      <c r="H122" s="36">
        <v>187500</v>
      </c>
      <c r="I122" s="36">
        <v>62493.75</v>
      </c>
    </row>
    <row r="123" spans="1:9">
      <c r="A123" s="31">
        <v>505794</v>
      </c>
      <c r="B123" s="31">
        <v>108288</v>
      </c>
      <c r="C123" s="31" t="s">
        <v>8</v>
      </c>
      <c r="D123" s="31" t="s">
        <v>1761</v>
      </c>
      <c r="E123" s="31" t="s">
        <v>1727</v>
      </c>
      <c r="F123" s="46">
        <v>43374</v>
      </c>
      <c r="G123" s="40">
        <v>44469</v>
      </c>
      <c r="H123" s="36">
        <v>74400</v>
      </c>
      <c r="I123" s="36">
        <v>24797.52</v>
      </c>
    </row>
    <row r="124" spans="1:9">
      <c r="A124" s="31">
        <v>507158</v>
      </c>
      <c r="B124" s="31">
        <v>209400</v>
      </c>
      <c r="C124" s="31" t="s">
        <v>8</v>
      </c>
      <c r="D124" s="31" t="s">
        <v>1761</v>
      </c>
      <c r="E124" s="31" t="s">
        <v>1727</v>
      </c>
      <c r="F124" s="46">
        <v>43374</v>
      </c>
      <c r="G124" s="40">
        <v>44469</v>
      </c>
      <c r="H124" s="36">
        <v>75600</v>
      </c>
      <c r="I124" s="36">
        <v>25197.48</v>
      </c>
    </row>
    <row r="125" spans="1:9">
      <c r="A125" s="31">
        <v>506210</v>
      </c>
      <c r="B125" s="31">
        <v>108346</v>
      </c>
      <c r="C125" s="31" t="s">
        <v>8</v>
      </c>
      <c r="D125" s="31" t="s">
        <v>1762</v>
      </c>
      <c r="E125" s="31" t="s">
        <v>1727</v>
      </c>
      <c r="F125" s="46">
        <v>43466</v>
      </c>
      <c r="G125" s="40">
        <v>43830</v>
      </c>
      <c r="H125" s="36">
        <v>24800</v>
      </c>
      <c r="I125" s="36">
        <v>8265.84</v>
      </c>
    </row>
    <row r="126" spans="1:9">
      <c r="A126" s="31">
        <v>507036</v>
      </c>
      <c r="B126" s="31">
        <v>209438</v>
      </c>
      <c r="C126" s="31" t="s">
        <v>8</v>
      </c>
      <c r="D126" s="31" t="s">
        <v>1762</v>
      </c>
      <c r="E126" s="31" t="s">
        <v>1727</v>
      </c>
      <c r="F126" s="46">
        <v>43466</v>
      </c>
      <c r="G126" s="40">
        <v>43830</v>
      </c>
      <c r="H126" s="36">
        <v>125200</v>
      </c>
      <c r="I126" s="36">
        <v>41729.159999999996</v>
      </c>
    </row>
    <row r="127" spans="1:9">
      <c r="A127" s="31">
        <v>504223</v>
      </c>
      <c r="B127" s="31">
        <v>209142</v>
      </c>
      <c r="C127" s="31" t="s">
        <v>8</v>
      </c>
      <c r="D127" s="31" t="s">
        <v>1167</v>
      </c>
      <c r="E127" s="31" t="s">
        <v>1727</v>
      </c>
      <c r="F127" s="46">
        <v>43466</v>
      </c>
      <c r="G127" s="40">
        <v>43830</v>
      </c>
      <c r="H127" s="36">
        <v>55600</v>
      </c>
      <c r="I127" s="36">
        <v>18531.48</v>
      </c>
    </row>
    <row r="128" spans="1:9">
      <c r="A128" s="31">
        <v>501814</v>
      </c>
      <c r="B128" s="31" t="s">
        <v>1763</v>
      </c>
      <c r="C128" s="31" t="s">
        <v>8</v>
      </c>
      <c r="D128" s="31" t="s">
        <v>1141</v>
      </c>
      <c r="E128" s="31" t="s">
        <v>1727</v>
      </c>
      <c r="F128" s="46">
        <v>43466</v>
      </c>
      <c r="G128" s="40">
        <v>43830</v>
      </c>
      <c r="H128" s="36">
        <v>55600</v>
      </c>
      <c r="I128" s="36">
        <v>18531.48</v>
      </c>
    </row>
    <row r="129" spans="1:9">
      <c r="A129" s="31">
        <v>504337</v>
      </c>
      <c r="B129" s="31">
        <v>205592</v>
      </c>
      <c r="C129" s="31" t="s">
        <v>19</v>
      </c>
      <c r="D129" s="32" t="s">
        <v>1596</v>
      </c>
      <c r="E129" s="32" t="s">
        <v>1727</v>
      </c>
      <c r="F129" s="35">
        <v>43191</v>
      </c>
      <c r="G129" s="35">
        <v>43555</v>
      </c>
      <c r="H129" s="36">
        <v>74230</v>
      </c>
      <c r="I129" s="36">
        <v>24740.859</v>
      </c>
    </row>
    <row r="130" spans="1:9">
      <c r="A130" s="31">
        <v>504337</v>
      </c>
      <c r="B130" s="31">
        <v>211478</v>
      </c>
      <c r="C130" s="31" t="s">
        <v>19</v>
      </c>
      <c r="D130" s="32" t="s">
        <v>1598</v>
      </c>
      <c r="E130" s="32" t="s">
        <v>1727</v>
      </c>
      <c r="F130" s="35">
        <v>43191</v>
      </c>
      <c r="G130" s="35">
        <v>43555</v>
      </c>
      <c r="H130" s="36">
        <v>24370</v>
      </c>
      <c r="I130" s="36">
        <v>8122.5209999999997</v>
      </c>
    </row>
    <row r="131" spans="1:9">
      <c r="A131" s="38">
        <v>504335</v>
      </c>
      <c r="B131" s="31">
        <v>208897</v>
      </c>
      <c r="C131" s="31" t="s">
        <v>19</v>
      </c>
      <c r="D131" s="32" t="s">
        <v>1594</v>
      </c>
      <c r="E131" s="32" t="s">
        <v>1727</v>
      </c>
      <c r="F131" s="35">
        <v>43191</v>
      </c>
      <c r="G131" s="35">
        <v>43555</v>
      </c>
      <c r="H131" s="36">
        <v>58135</v>
      </c>
      <c r="I131" s="36">
        <v>19376.395499999999</v>
      </c>
    </row>
    <row r="132" spans="1:9">
      <c r="A132" s="38">
        <v>504335</v>
      </c>
      <c r="B132" s="31">
        <v>203820</v>
      </c>
      <c r="C132" s="31" t="s">
        <v>19</v>
      </c>
      <c r="D132" s="32" t="s">
        <v>1592</v>
      </c>
      <c r="E132" s="32" t="s">
        <v>1727</v>
      </c>
      <c r="F132" s="35">
        <v>43191</v>
      </c>
      <c r="G132" s="35">
        <v>43555</v>
      </c>
      <c r="H132" s="36">
        <v>41859</v>
      </c>
      <c r="I132" s="36">
        <v>13951.6047</v>
      </c>
    </row>
    <row r="133" spans="1:9">
      <c r="A133" s="31">
        <v>504334</v>
      </c>
      <c r="B133" s="31">
        <v>202019</v>
      </c>
      <c r="C133" s="31" t="s">
        <v>19</v>
      </c>
      <c r="D133" s="32" t="s">
        <v>1590</v>
      </c>
      <c r="E133" s="32" t="s">
        <v>1727</v>
      </c>
      <c r="F133" s="35">
        <v>43191</v>
      </c>
      <c r="G133" s="35">
        <v>43555</v>
      </c>
      <c r="H133" s="36">
        <v>100000</v>
      </c>
      <c r="I133" s="36">
        <v>33330</v>
      </c>
    </row>
    <row r="134" spans="1:9">
      <c r="A134" s="31">
        <v>504615</v>
      </c>
      <c r="B134" s="31">
        <v>209345</v>
      </c>
      <c r="C134" s="31" t="s">
        <v>19</v>
      </c>
      <c r="D134" s="32" t="s">
        <v>1764</v>
      </c>
      <c r="E134" s="32" t="s">
        <v>68</v>
      </c>
      <c r="F134" s="35">
        <v>43191</v>
      </c>
      <c r="G134" s="35">
        <v>43555</v>
      </c>
      <c r="H134" s="36">
        <v>100000</v>
      </c>
      <c r="I134" s="36">
        <v>33330</v>
      </c>
    </row>
    <row r="135" spans="1:9">
      <c r="A135" s="38">
        <v>504344</v>
      </c>
      <c r="B135" s="31">
        <v>211456</v>
      </c>
      <c r="C135" s="31" t="s">
        <v>19</v>
      </c>
      <c r="D135" s="32" t="s">
        <v>1602</v>
      </c>
      <c r="E135" s="33" t="s">
        <v>1277</v>
      </c>
      <c r="F135" s="35">
        <v>43191</v>
      </c>
      <c r="G135" s="35">
        <v>43555</v>
      </c>
      <c r="H135" s="36">
        <v>85062</v>
      </c>
      <c r="I135" s="36">
        <v>28351.1646</v>
      </c>
    </row>
    <row r="136" spans="1:9">
      <c r="A136" s="38">
        <v>504344</v>
      </c>
      <c r="B136" s="31">
        <v>211218</v>
      </c>
      <c r="C136" s="31" t="s">
        <v>19</v>
      </c>
      <c r="D136" s="32" t="s">
        <v>1600</v>
      </c>
      <c r="E136" s="33" t="s">
        <v>1277</v>
      </c>
      <c r="F136" s="35">
        <v>43191</v>
      </c>
      <c r="G136" s="35">
        <v>43555</v>
      </c>
      <c r="H136" s="36">
        <v>14227</v>
      </c>
      <c r="I136" s="36">
        <v>4741.8590999999997</v>
      </c>
    </row>
    <row r="137" spans="1:9">
      <c r="A137" s="31">
        <v>502560</v>
      </c>
      <c r="B137" s="37">
        <v>205839</v>
      </c>
      <c r="C137" s="31" t="s">
        <v>19</v>
      </c>
      <c r="D137" s="32" t="s">
        <v>1765</v>
      </c>
      <c r="E137" s="32" t="s">
        <v>1727</v>
      </c>
      <c r="F137" s="35">
        <v>43191</v>
      </c>
      <c r="G137" s="35">
        <v>43555</v>
      </c>
      <c r="H137" s="36">
        <v>58400</v>
      </c>
      <c r="I137" s="36">
        <v>19464.719999999998</v>
      </c>
    </row>
    <row r="138" spans="1:9">
      <c r="A138" s="38">
        <v>502560</v>
      </c>
      <c r="B138" s="31">
        <v>203820</v>
      </c>
      <c r="C138" s="31" t="s">
        <v>19</v>
      </c>
      <c r="D138" s="32" t="s">
        <v>1766</v>
      </c>
      <c r="E138" s="32" t="s">
        <v>1727</v>
      </c>
      <c r="F138" s="35">
        <v>43191</v>
      </c>
      <c r="G138" s="35">
        <v>43555</v>
      </c>
      <c r="H138" s="36">
        <v>41600</v>
      </c>
      <c r="I138" s="36">
        <v>13865.279999999999</v>
      </c>
    </row>
    <row r="139" spans="1:9">
      <c r="A139" s="39" t="s">
        <v>1767</v>
      </c>
      <c r="B139" s="39" t="s">
        <v>1768</v>
      </c>
      <c r="C139" s="39" t="s">
        <v>19</v>
      </c>
      <c r="D139" s="39" t="s">
        <v>1769</v>
      </c>
      <c r="E139" s="39" t="s">
        <v>1727</v>
      </c>
      <c r="F139" s="35">
        <v>43191</v>
      </c>
      <c r="G139" s="35">
        <v>43555</v>
      </c>
      <c r="H139" s="36">
        <v>100000</v>
      </c>
      <c r="I139" s="36">
        <v>33330</v>
      </c>
    </row>
    <row r="140" spans="1:9">
      <c r="A140" s="38">
        <v>502801</v>
      </c>
      <c r="B140" s="31">
        <v>203173</v>
      </c>
      <c r="C140" s="39" t="s">
        <v>19</v>
      </c>
      <c r="D140" s="39" t="s">
        <v>270</v>
      </c>
      <c r="E140" s="39" t="s">
        <v>75</v>
      </c>
      <c r="F140" s="35">
        <v>43191</v>
      </c>
      <c r="G140" s="35">
        <v>43555</v>
      </c>
      <c r="H140" s="36">
        <v>30060</v>
      </c>
      <c r="I140" s="36">
        <v>10018.998</v>
      </c>
    </row>
    <row r="141" spans="1:9">
      <c r="A141" s="38">
        <v>502801</v>
      </c>
      <c r="B141" s="31">
        <v>208934</v>
      </c>
      <c r="C141" s="39" t="s">
        <v>19</v>
      </c>
      <c r="D141" s="39" t="s">
        <v>108</v>
      </c>
      <c r="E141" s="39" t="s">
        <v>75</v>
      </c>
      <c r="F141" s="35">
        <v>43191</v>
      </c>
      <c r="G141" s="35">
        <v>43555</v>
      </c>
      <c r="H141" s="36">
        <v>38300</v>
      </c>
      <c r="I141" s="36">
        <v>12765.39</v>
      </c>
    </row>
    <row r="142" spans="1:9">
      <c r="A142" s="38">
        <v>502801</v>
      </c>
      <c r="B142" s="31">
        <v>211974</v>
      </c>
      <c r="C142" s="39" t="s">
        <v>19</v>
      </c>
      <c r="D142" s="39" t="s">
        <v>1770</v>
      </c>
      <c r="E142" s="39" t="s">
        <v>75</v>
      </c>
      <c r="F142" s="35">
        <v>43191</v>
      </c>
      <c r="G142" s="35">
        <v>43555</v>
      </c>
      <c r="H142" s="36">
        <v>31640</v>
      </c>
      <c r="I142" s="36">
        <v>10545.611999999999</v>
      </c>
    </row>
    <row r="143" spans="1:9">
      <c r="A143" s="38">
        <v>502577</v>
      </c>
      <c r="B143" s="31">
        <v>211534</v>
      </c>
      <c r="C143" s="39" t="s">
        <v>19</v>
      </c>
      <c r="D143" s="39" t="s">
        <v>1771</v>
      </c>
      <c r="E143" s="39" t="s">
        <v>68</v>
      </c>
      <c r="F143" s="35">
        <v>43191</v>
      </c>
      <c r="G143" s="35">
        <v>43555</v>
      </c>
      <c r="H143" s="36">
        <v>40000</v>
      </c>
      <c r="I143" s="36">
        <v>13332</v>
      </c>
    </row>
    <row r="144" spans="1:9">
      <c r="A144" s="38">
        <v>502577</v>
      </c>
      <c r="B144" s="31">
        <v>207584</v>
      </c>
      <c r="C144" s="39" t="s">
        <v>19</v>
      </c>
      <c r="D144" s="39" t="s">
        <v>1772</v>
      </c>
      <c r="E144" s="39" t="s">
        <v>1727</v>
      </c>
      <c r="F144" s="35">
        <v>43191</v>
      </c>
      <c r="G144" s="35">
        <v>43555</v>
      </c>
      <c r="H144" s="36">
        <v>60000</v>
      </c>
      <c r="I144" s="36">
        <v>19998</v>
      </c>
    </row>
    <row r="145" spans="1:9">
      <c r="A145" s="31">
        <v>502561</v>
      </c>
      <c r="B145" s="31">
        <v>206205</v>
      </c>
      <c r="C145" s="39" t="s">
        <v>19</v>
      </c>
      <c r="D145" s="39" t="s">
        <v>1773</v>
      </c>
      <c r="E145" s="39" t="s">
        <v>1727</v>
      </c>
      <c r="F145" s="35">
        <v>43191</v>
      </c>
      <c r="G145" s="35">
        <v>43555</v>
      </c>
      <c r="H145" s="36">
        <v>38750</v>
      </c>
      <c r="I145" s="36">
        <v>12915.375</v>
      </c>
    </row>
    <row r="146" spans="1:9">
      <c r="A146" s="31">
        <v>502561</v>
      </c>
      <c r="B146" s="31">
        <v>208217</v>
      </c>
      <c r="C146" s="39" t="s">
        <v>19</v>
      </c>
      <c r="D146" s="39" t="s">
        <v>1774</v>
      </c>
      <c r="E146" s="39" t="s">
        <v>1727</v>
      </c>
      <c r="F146" s="35">
        <v>43191</v>
      </c>
      <c r="G146" s="35">
        <v>43555</v>
      </c>
      <c r="H146" s="36">
        <v>61250</v>
      </c>
      <c r="I146" s="36">
        <v>20414.625</v>
      </c>
    </row>
    <row r="147" spans="1:9">
      <c r="A147" s="31">
        <v>502687</v>
      </c>
      <c r="B147" s="31">
        <v>212639</v>
      </c>
      <c r="C147" s="39" t="s">
        <v>19</v>
      </c>
      <c r="D147" s="39" t="s">
        <v>1775</v>
      </c>
      <c r="E147" s="39" t="s">
        <v>1727</v>
      </c>
      <c r="F147" s="35">
        <v>43191</v>
      </c>
      <c r="G147" s="35">
        <v>43555</v>
      </c>
      <c r="H147" s="36">
        <v>75192</v>
      </c>
      <c r="I147" s="36">
        <v>25061.493599999998</v>
      </c>
    </row>
    <row r="148" spans="1:9">
      <c r="A148" s="31">
        <v>502687</v>
      </c>
      <c r="B148" s="31">
        <v>208628</v>
      </c>
      <c r="C148" s="39" t="s">
        <v>19</v>
      </c>
      <c r="D148" s="39" t="s">
        <v>1776</v>
      </c>
      <c r="E148" s="39" t="s">
        <v>1727</v>
      </c>
      <c r="F148" s="35">
        <v>43191</v>
      </c>
      <c r="G148" s="35">
        <v>43555</v>
      </c>
      <c r="H148" s="36">
        <v>24750</v>
      </c>
      <c r="I148" s="36">
        <v>8249.1749999999993</v>
      </c>
    </row>
    <row r="149" spans="1:9">
      <c r="A149" s="31">
        <v>504321</v>
      </c>
      <c r="B149" s="31">
        <v>205839</v>
      </c>
      <c r="C149" s="31" t="s">
        <v>488</v>
      </c>
      <c r="D149" s="32" t="s">
        <v>1587</v>
      </c>
      <c r="E149" s="32" t="s">
        <v>1727</v>
      </c>
      <c r="F149" s="40">
        <v>43191</v>
      </c>
      <c r="G149" s="41">
        <v>44286</v>
      </c>
      <c r="H149" s="36">
        <v>50000</v>
      </c>
      <c r="I149" s="36">
        <v>16665</v>
      </c>
    </row>
    <row r="150" spans="1:9">
      <c r="A150" s="31">
        <v>504322</v>
      </c>
      <c r="B150" s="31">
        <v>205839</v>
      </c>
      <c r="C150" s="31" t="s">
        <v>488</v>
      </c>
      <c r="D150" s="31" t="s">
        <v>1588</v>
      </c>
      <c r="E150" s="31" t="s">
        <v>68</v>
      </c>
      <c r="F150" s="40">
        <v>43191</v>
      </c>
      <c r="G150" s="41">
        <v>44286</v>
      </c>
      <c r="H150" s="36">
        <v>45833</v>
      </c>
      <c r="I150" s="36">
        <v>15276.1389</v>
      </c>
    </row>
    <row r="151" spans="1:9">
      <c r="A151" s="31">
        <v>504320</v>
      </c>
      <c r="B151" s="31">
        <v>205554</v>
      </c>
      <c r="C151" s="31" t="s">
        <v>488</v>
      </c>
      <c r="D151" s="32" t="s">
        <v>1585</v>
      </c>
      <c r="E151" s="32" t="s">
        <v>1727</v>
      </c>
      <c r="F151" s="40">
        <v>43221</v>
      </c>
      <c r="G151" s="41">
        <v>44286</v>
      </c>
      <c r="H151" s="36">
        <v>45833</v>
      </c>
      <c r="I151" s="36">
        <v>15276.1389</v>
      </c>
    </row>
    <row r="152" spans="1:9">
      <c r="A152" s="31">
        <v>502535</v>
      </c>
      <c r="B152" s="31" t="s">
        <v>1429</v>
      </c>
      <c r="C152" s="31" t="s">
        <v>488</v>
      </c>
      <c r="D152" s="32" t="s">
        <v>1777</v>
      </c>
      <c r="E152" s="32" t="s">
        <v>53</v>
      </c>
      <c r="F152" s="35">
        <v>43070</v>
      </c>
      <c r="G152" s="35">
        <v>43465</v>
      </c>
      <c r="H152" s="36">
        <v>50000</v>
      </c>
      <c r="I152" s="36">
        <v>16665</v>
      </c>
    </row>
    <row r="153" spans="1:9">
      <c r="A153" s="31" t="s">
        <v>1778</v>
      </c>
      <c r="B153" s="37" t="s">
        <v>1779</v>
      </c>
      <c r="C153" s="31" t="s">
        <v>488</v>
      </c>
      <c r="D153" s="33" t="s">
        <v>110</v>
      </c>
      <c r="E153" s="37" t="s">
        <v>53</v>
      </c>
      <c r="F153" s="35">
        <v>42461</v>
      </c>
      <c r="G153" s="35">
        <v>43555</v>
      </c>
      <c r="H153" s="36">
        <v>25000</v>
      </c>
      <c r="I153" s="36">
        <v>8332.5</v>
      </c>
    </row>
    <row r="154" spans="1:9">
      <c r="A154" s="31" t="s">
        <v>1780</v>
      </c>
      <c r="B154" s="37" t="s">
        <v>1781</v>
      </c>
      <c r="C154" s="31" t="s">
        <v>488</v>
      </c>
      <c r="D154" s="33" t="s">
        <v>332</v>
      </c>
      <c r="E154" s="31" t="s">
        <v>82</v>
      </c>
      <c r="F154" s="35">
        <v>42461</v>
      </c>
      <c r="G154" s="35">
        <v>43555</v>
      </c>
      <c r="H154" s="36">
        <v>25000</v>
      </c>
      <c r="I154" s="36">
        <v>8332.5</v>
      </c>
    </row>
    <row r="155" spans="1:9">
      <c r="A155" s="31" t="s">
        <v>1782</v>
      </c>
      <c r="B155" s="42" t="s">
        <v>1783</v>
      </c>
      <c r="C155" s="31" t="s">
        <v>488</v>
      </c>
      <c r="D155" s="39" t="s">
        <v>1784</v>
      </c>
      <c r="E155" s="33" t="s">
        <v>53</v>
      </c>
      <c r="F155" s="35">
        <v>42826</v>
      </c>
      <c r="G155" s="35">
        <v>43921</v>
      </c>
      <c r="H155" s="36">
        <v>4166.6699999999983</v>
      </c>
      <c r="I155" s="36">
        <v>1388.7511109999994</v>
      </c>
    </row>
    <row r="156" spans="1:9">
      <c r="A156" s="31" t="s">
        <v>1785</v>
      </c>
      <c r="B156" s="42" t="s">
        <v>1786</v>
      </c>
      <c r="C156" s="31" t="s">
        <v>488</v>
      </c>
      <c r="D156" s="39" t="s">
        <v>1580</v>
      </c>
      <c r="E156" s="33" t="s">
        <v>82</v>
      </c>
      <c r="F156" s="35">
        <v>42826</v>
      </c>
      <c r="G156" s="35">
        <v>43921</v>
      </c>
      <c r="H156" s="36">
        <v>50000</v>
      </c>
      <c r="I156" s="36">
        <v>16665</v>
      </c>
    </row>
    <row r="157" spans="1:9">
      <c r="A157" s="31" t="s">
        <v>1787</v>
      </c>
      <c r="B157" s="42" t="s">
        <v>1788</v>
      </c>
      <c r="C157" s="31" t="s">
        <v>488</v>
      </c>
      <c r="D157" s="39" t="s">
        <v>1576</v>
      </c>
      <c r="E157" s="33" t="s">
        <v>53</v>
      </c>
      <c r="F157" s="35">
        <v>42826</v>
      </c>
      <c r="G157" s="35">
        <v>43921</v>
      </c>
      <c r="H157" s="36">
        <v>25000</v>
      </c>
      <c r="I157" s="36">
        <v>8332.5</v>
      </c>
    </row>
    <row r="158" spans="1:9">
      <c r="A158" s="31" t="s">
        <v>1789</v>
      </c>
      <c r="B158" s="42" t="s">
        <v>1790</v>
      </c>
      <c r="C158" s="31" t="s">
        <v>488</v>
      </c>
      <c r="D158" s="39" t="s">
        <v>1578</v>
      </c>
      <c r="E158" s="33" t="s">
        <v>82</v>
      </c>
      <c r="F158" s="35">
        <v>42826</v>
      </c>
      <c r="G158" s="35">
        <v>43921</v>
      </c>
      <c r="H158" s="36">
        <v>50000</v>
      </c>
      <c r="I158" s="36">
        <v>16665</v>
      </c>
    </row>
    <row r="159" spans="1:9">
      <c r="A159" s="31" t="s">
        <v>1791</v>
      </c>
      <c r="B159" s="42" t="s">
        <v>1792</v>
      </c>
      <c r="C159" s="31" t="s">
        <v>488</v>
      </c>
      <c r="D159" s="39" t="s">
        <v>1583</v>
      </c>
      <c r="E159" s="33" t="s">
        <v>1727</v>
      </c>
      <c r="F159" s="35">
        <v>42826</v>
      </c>
      <c r="G159" s="35">
        <v>43921</v>
      </c>
      <c r="H159" s="36">
        <v>50000</v>
      </c>
      <c r="I159" s="36">
        <v>16665</v>
      </c>
    </row>
    <row r="160" spans="1:9">
      <c r="A160" s="31">
        <v>505062</v>
      </c>
      <c r="B160" s="31">
        <v>206247</v>
      </c>
      <c r="C160" s="42" t="s">
        <v>488</v>
      </c>
      <c r="D160" s="39" t="s">
        <v>173</v>
      </c>
      <c r="E160" s="39" t="s">
        <v>1727</v>
      </c>
      <c r="F160" s="35">
        <v>43191</v>
      </c>
      <c r="G160" s="35">
        <v>43555</v>
      </c>
      <c r="H160" s="36">
        <v>50000</v>
      </c>
      <c r="I160" s="36">
        <v>16665</v>
      </c>
    </row>
    <row r="161" spans="1:9">
      <c r="A161" s="31" t="s">
        <v>1793</v>
      </c>
      <c r="B161" s="42" t="s">
        <v>1434</v>
      </c>
      <c r="C161" s="42" t="s">
        <v>488</v>
      </c>
      <c r="D161" s="31" t="s">
        <v>255</v>
      </c>
      <c r="E161" s="31" t="s">
        <v>68</v>
      </c>
      <c r="F161" s="35">
        <v>43191</v>
      </c>
      <c r="G161" s="35">
        <v>43555</v>
      </c>
      <c r="H161" s="36">
        <v>50000</v>
      </c>
      <c r="I161" s="36">
        <v>16665</v>
      </c>
    </row>
    <row r="162" spans="1:9">
      <c r="D162" s="31"/>
      <c r="E162" s="31"/>
      <c r="F162" s="46"/>
      <c r="G162" s="40"/>
      <c r="H162" s="36"/>
      <c r="I162" s="36"/>
    </row>
    <row r="163" spans="1:9">
      <c r="D163" s="31"/>
    </row>
    <row r="164" spans="1:9">
      <c r="D164" s="31"/>
      <c r="H164" s="53">
        <v>14454237.67</v>
      </c>
      <c r="I164" s="53">
        <v>4817597.4154109973</v>
      </c>
    </row>
    <row r="166" spans="1:9">
      <c r="H166" s="36">
        <v>19271835.085410997</v>
      </c>
    </row>
    <row r="172" spans="1:9">
      <c r="C172" s="1" t="s">
        <v>161</v>
      </c>
      <c r="D172" s="1" t="s">
        <v>1794</v>
      </c>
      <c r="E172" s="1" t="s">
        <v>90</v>
      </c>
      <c r="F172" s="1" t="s">
        <v>91</v>
      </c>
      <c r="G172" s="54"/>
    </row>
    <row r="173" spans="1:9">
      <c r="C173" s="2" t="s">
        <v>341</v>
      </c>
      <c r="D173" s="55">
        <v>2</v>
      </c>
      <c r="E173" s="56">
        <v>25000</v>
      </c>
      <c r="F173" s="56">
        <v>8332.5</v>
      </c>
      <c r="G173" s="57"/>
    </row>
    <row r="174" spans="1:9">
      <c r="C174" s="2" t="s">
        <v>6</v>
      </c>
      <c r="D174" s="55">
        <v>2</v>
      </c>
      <c r="E174" s="56">
        <v>1332364</v>
      </c>
      <c r="F174" s="56">
        <v>444076.92119999998</v>
      </c>
      <c r="G174" s="57"/>
    </row>
    <row r="175" spans="1:9">
      <c r="C175" s="2" t="s">
        <v>347</v>
      </c>
      <c r="D175" s="55">
        <v>110</v>
      </c>
      <c r="E175" s="56">
        <v>9173916</v>
      </c>
      <c r="F175" s="56">
        <v>3057666.2027999996</v>
      </c>
      <c r="G175" s="57"/>
    </row>
    <row r="176" spans="1:9">
      <c r="C176" s="2" t="s">
        <v>8</v>
      </c>
      <c r="D176" s="55">
        <v>13</v>
      </c>
      <c r="E176" s="56">
        <v>2304300</v>
      </c>
      <c r="F176" s="56">
        <v>768023.19</v>
      </c>
      <c r="G176" s="57"/>
    </row>
    <row r="177" spans="1:9">
      <c r="C177" s="2" t="s">
        <v>19</v>
      </c>
      <c r="D177" s="55">
        <v>20</v>
      </c>
      <c r="E177" s="56">
        <v>1097825</v>
      </c>
      <c r="F177" s="56">
        <v>365905.07250000001</v>
      </c>
      <c r="G177" s="57"/>
    </row>
    <row r="178" spans="1:9">
      <c r="C178" s="2" t="s">
        <v>488</v>
      </c>
      <c r="D178" s="55">
        <v>13</v>
      </c>
      <c r="E178" s="56">
        <v>520832.67</v>
      </c>
      <c r="F178" s="56">
        <v>173593.528911</v>
      </c>
      <c r="G178" s="57"/>
    </row>
    <row r="179" spans="1:9">
      <c r="C179" s="2" t="s">
        <v>105</v>
      </c>
      <c r="D179" s="55">
        <v>160</v>
      </c>
      <c r="E179" s="1">
        <v>14454237.67</v>
      </c>
      <c r="F179" s="1">
        <v>4817597.4154109973</v>
      </c>
      <c r="G179" s="58">
        <v>19271835.085410997</v>
      </c>
    </row>
    <row r="180" spans="1:9" ht="3.6" customHeight="1">
      <c r="A180" s="59"/>
      <c r="B180" s="59"/>
      <c r="C180" s="59"/>
      <c r="D180" s="60"/>
      <c r="E180" s="60"/>
      <c r="F180" s="61"/>
      <c r="G180" s="61"/>
      <c r="H180" s="60"/>
      <c r="I180" s="60"/>
    </row>
    <row r="182" spans="1:9" ht="17.25" thickBot="1">
      <c r="C182" s="3" t="s">
        <v>1795</v>
      </c>
    </row>
    <row r="183" spans="1:9">
      <c r="C183" s="62" t="s">
        <v>161</v>
      </c>
      <c r="D183" s="63" t="s">
        <v>1796</v>
      </c>
      <c r="E183" s="62" t="s">
        <v>1797</v>
      </c>
      <c r="F183" s="62" t="s">
        <v>1798</v>
      </c>
      <c r="G183" s="64" t="s">
        <v>11</v>
      </c>
    </row>
    <row r="184" spans="1:9">
      <c r="C184" s="65" t="s">
        <v>19</v>
      </c>
      <c r="D184" s="66">
        <v>20</v>
      </c>
      <c r="E184" s="67">
        <v>1097825</v>
      </c>
      <c r="F184" s="67">
        <v>365905.07250000001</v>
      </c>
      <c r="G184" s="68">
        <v>1463730.0725</v>
      </c>
    </row>
    <row r="185" spans="1:9">
      <c r="C185" s="65" t="s">
        <v>488</v>
      </c>
      <c r="D185" s="66">
        <v>14</v>
      </c>
      <c r="E185" s="67">
        <v>520832.67</v>
      </c>
      <c r="F185" s="67">
        <v>173593.528911</v>
      </c>
      <c r="G185" s="68">
        <v>694426.19891100004</v>
      </c>
    </row>
    <row r="186" spans="1:9">
      <c r="C186" s="65" t="s">
        <v>347</v>
      </c>
      <c r="D186" s="66">
        <v>104</v>
      </c>
      <c r="E186" s="67">
        <v>9173916</v>
      </c>
      <c r="F186" s="67">
        <v>3057666.2027999996</v>
      </c>
      <c r="G186" s="68">
        <v>12231582.2028</v>
      </c>
    </row>
    <row r="187" spans="1:9">
      <c r="C187" s="65" t="s">
        <v>8</v>
      </c>
      <c r="D187" s="66">
        <v>8</v>
      </c>
      <c r="E187" s="67">
        <v>2304300</v>
      </c>
      <c r="F187" s="67">
        <v>768023.19</v>
      </c>
      <c r="G187" s="68">
        <v>3072323.19</v>
      </c>
    </row>
    <row r="188" spans="1:9">
      <c r="C188" s="65" t="s">
        <v>6</v>
      </c>
      <c r="D188" s="66" t="s">
        <v>7</v>
      </c>
      <c r="E188" s="67">
        <v>1332364</v>
      </c>
      <c r="F188" s="67">
        <v>444076.92119999998</v>
      </c>
      <c r="G188" s="68">
        <v>1776440.9212</v>
      </c>
    </row>
    <row r="189" spans="1:9">
      <c r="C189" s="65" t="s">
        <v>341</v>
      </c>
      <c r="D189" s="66">
        <v>2</v>
      </c>
      <c r="E189" s="67">
        <v>25000</v>
      </c>
      <c r="F189" s="67">
        <v>8332.5</v>
      </c>
      <c r="G189" s="68">
        <v>33332.5</v>
      </c>
    </row>
    <row r="190" spans="1:9">
      <c r="C190" s="69" t="s">
        <v>105</v>
      </c>
      <c r="D190" s="70">
        <v>148</v>
      </c>
      <c r="E190" s="71">
        <v>14454237.67</v>
      </c>
      <c r="F190" s="71">
        <v>4817597.4154109992</v>
      </c>
      <c r="G190" s="72">
        <v>19271835.085411001</v>
      </c>
    </row>
    <row r="191" spans="1:9">
      <c r="C191" s="73"/>
      <c r="D191" s="74"/>
      <c r="E191" s="74"/>
      <c r="F191" s="74"/>
      <c r="G191" s="74"/>
    </row>
    <row r="192" spans="1:9" ht="35.25" customHeight="1">
      <c r="C192" s="75" t="s">
        <v>1799</v>
      </c>
      <c r="D192" s="76"/>
      <c r="E192" s="76"/>
      <c r="F192" s="77"/>
      <c r="G192" s="77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I266"/>
  <sheetViews>
    <sheetView topLeftCell="A29" workbookViewId="0"/>
  </sheetViews>
  <sheetFormatPr defaultColWidth="9.140625" defaultRowHeight="15"/>
  <cols>
    <col min="1" max="1" width="7.7109375" style="2" bestFit="1" customWidth="1"/>
    <col min="2" max="2" width="7" style="2" bestFit="1" customWidth="1"/>
    <col min="3" max="3" width="28.85546875" style="2" customWidth="1"/>
    <col min="4" max="4" width="10.42578125" style="2" customWidth="1"/>
    <col min="5" max="5" width="16.7109375" style="2" customWidth="1"/>
    <col min="6" max="6" width="14.28515625" style="227" customWidth="1"/>
    <col min="7" max="7" width="13.85546875" style="227" bestFit="1" customWidth="1"/>
    <col min="8" max="8" width="13.85546875" style="208" bestFit="1" customWidth="1"/>
    <col min="9" max="9" width="12.7109375" style="208" bestFit="1" customWidth="1"/>
    <col min="10" max="11" width="9.140625" style="1"/>
    <col min="12" max="12" width="28.42578125" style="1" customWidth="1"/>
    <col min="13" max="13" width="10.7109375" style="1" customWidth="1"/>
    <col min="14" max="14" width="15.28515625" style="1" bestFit="1" customWidth="1"/>
    <col min="15" max="15" width="14.28515625" style="1" bestFit="1" customWidth="1"/>
    <col min="16" max="16" width="30.7109375" style="1" customWidth="1"/>
    <col min="17" max="17" width="26.42578125" style="1" customWidth="1"/>
    <col min="18" max="18" width="33" style="1" customWidth="1"/>
    <col min="19" max="19" width="27.7109375" style="1" customWidth="1"/>
    <col min="20" max="20" width="29.85546875" style="1" customWidth="1"/>
    <col min="21" max="21" width="21.5703125" style="1" customWidth="1"/>
    <col min="22" max="22" width="31.85546875" style="1" customWidth="1"/>
    <col min="23" max="23" width="27" style="1" customWidth="1"/>
    <col min="24" max="24" width="30" style="1" customWidth="1"/>
    <col min="25" max="25" width="29.85546875" style="1" customWidth="1"/>
    <col min="26" max="26" width="30.42578125" style="1" customWidth="1"/>
    <col min="27" max="27" width="10.5703125" style="1" customWidth="1"/>
    <col min="28" max="28" width="29.28515625" style="1" customWidth="1"/>
    <col min="29" max="29" width="31.5703125" style="1" customWidth="1"/>
    <col min="30" max="30" width="30.28515625" style="1" customWidth="1"/>
    <col min="31" max="31" width="28.28515625" style="1" customWidth="1"/>
    <col min="32" max="32" width="16.5703125" style="1" customWidth="1"/>
    <col min="33" max="33" width="31.7109375" style="1" customWidth="1"/>
    <col min="34" max="34" width="26.140625" style="1" customWidth="1"/>
    <col min="35" max="35" width="20" style="1" customWidth="1"/>
    <col min="36" max="36" width="18" style="1" customWidth="1"/>
    <col min="37" max="37" width="34" style="1" customWidth="1"/>
    <col min="38" max="38" width="19.140625" style="1" customWidth="1"/>
    <col min="39" max="39" width="23" style="1" customWidth="1"/>
    <col min="40" max="40" width="23.28515625" style="1" customWidth="1"/>
    <col min="41" max="41" width="19.85546875" style="1" customWidth="1"/>
    <col min="42" max="42" width="33.5703125" style="1" customWidth="1"/>
    <col min="43" max="43" width="23.85546875" style="1" customWidth="1"/>
    <col min="44" max="44" width="19.7109375" style="1" customWidth="1"/>
    <col min="45" max="45" width="22.42578125" style="1" customWidth="1"/>
    <col min="46" max="46" width="31" style="1" customWidth="1"/>
    <col min="47" max="47" width="21.140625" style="1" customWidth="1"/>
    <col min="48" max="48" width="31.28515625" style="1" customWidth="1"/>
    <col min="49" max="49" width="36.28515625" style="1" customWidth="1"/>
    <col min="50" max="50" width="29.42578125" style="1" customWidth="1"/>
    <col min="51" max="51" width="32.28515625" style="1" customWidth="1"/>
    <col min="52" max="52" width="19.140625" style="1" customWidth="1"/>
    <col min="53" max="53" width="30.28515625" style="1" customWidth="1"/>
    <col min="54" max="54" width="32.7109375" style="1" customWidth="1"/>
    <col min="55" max="55" width="31" style="1" customWidth="1"/>
    <col min="56" max="56" width="31.7109375" style="1" customWidth="1"/>
    <col min="57" max="57" width="16.7109375" style="1" customWidth="1"/>
    <col min="58" max="58" width="28.28515625" style="1" customWidth="1"/>
    <col min="59" max="59" width="29.85546875" style="1" customWidth="1"/>
    <col min="60" max="60" width="21.42578125" style="1" customWidth="1"/>
    <col min="61" max="61" width="11" style="1" customWidth="1"/>
    <col min="62" max="62" width="23" style="1" customWidth="1"/>
    <col min="63" max="63" width="30.5703125" style="1" customWidth="1"/>
    <col min="64" max="64" width="31.28515625" style="1" customWidth="1"/>
    <col min="65" max="65" width="29.28515625" style="1" customWidth="1"/>
    <col min="66" max="66" width="20.5703125" style="1" customWidth="1"/>
    <col min="67" max="67" width="27.28515625" style="1" customWidth="1"/>
    <col min="68" max="68" width="27.85546875" style="1" customWidth="1"/>
    <col min="69" max="69" width="30" style="1" customWidth="1"/>
    <col min="70" max="70" width="20.140625" style="1" customWidth="1"/>
    <col min="71" max="71" width="21.140625" style="1" customWidth="1"/>
    <col min="72" max="72" width="27.7109375" style="1" customWidth="1"/>
    <col min="73" max="73" width="23.42578125" style="1" customWidth="1"/>
    <col min="74" max="74" width="28.5703125" style="1" customWidth="1"/>
    <col min="75" max="75" width="25.85546875" style="1" customWidth="1"/>
    <col min="76" max="76" width="28.28515625" style="1" customWidth="1"/>
    <col min="77" max="77" width="35" style="1" customWidth="1"/>
    <col min="78" max="78" width="22.7109375" style="1" customWidth="1"/>
    <col min="79" max="79" width="32.85546875" style="1" customWidth="1"/>
    <col min="80" max="80" width="31.42578125" style="1" customWidth="1"/>
    <col min="81" max="81" width="33.28515625" style="1" customWidth="1"/>
    <col min="82" max="82" width="34.5703125" style="1" customWidth="1"/>
    <col min="83" max="83" width="22.42578125" style="1" customWidth="1"/>
    <col min="84" max="84" width="30.7109375" style="1" customWidth="1"/>
    <col min="85" max="85" width="29.7109375" style="1" customWidth="1"/>
    <col min="86" max="86" width="27.28515625" style="1" customWidth="1"/>
    <col min="87" max="87" width="30.28515625" style="1" customWidth="1"/>
    <col min="88" max="88" width="27.42578125" style="1" customWidth="1"/>
    <col min="89" max="89" width="21.5703125" style="1" customWidth="1"/>
    <col min="90" max="90" width="15.5703125" style="1" customWidth="1"/>
    <col min="91" max="92" width="30.5703125" style="1" customWidth="1"/>
    <col min="93" max="93" width="29" style="1" customWidth="1"/>
    <col min="94" max="94" width="28.140625" style="1" customWidth="1"/>
    <col min="95" max="95" width="33.85546875" style="1" customWidth="1"/>
    <col min="96" max="96" width="23" style="1" customWidth="1"/>
    <col min="97" max="97" width="17.5703125" style="1" customWidth="1"/>
    <col min="98" max="98" width="30.140625" style="1" customWidth="1"/>
    <col min="99" max="99" width="28.28515625" style="1" customWidth="1"/>
    <col min="100" max="100" width="21.85546875" style="1" customWidth="1"/>
    <col min="101" max="101" width="24.5703125" style="1" customWidth="1"/>
    <col min="102" max="102" width="8.42578125" style="1" customWidth="1"/>
    <col min="103" max="103" width="30.5703125" style="1" customWidth="1"/>
    <col min="104" max="104" width="21.85546875" style="1" customWidth="1"/>
    <col min="105" max="105" width="17.85546875" style="1" customWidth="1"/>
    <col min="106" max="106" width="28.85546875" style="1" customWidth="1"/>
    <col min="107" max="107" width="31.140625" style="1" customWidth="1"/>
    <col min="108" max="109" width="22.140625" style="1" bestFit="1" customWidth="1"/>
    <col min="110" max="110" width="34.7109375" style="1" bestFit="1" customWidth="1"/>
    <col min="111" max="111" width="36" style="1" bestFit="1" customWidth="1"/>
    <col min="112" max="112" width="22.5703125" style="1" bestFit="1" customWidth="1"/>
    <col min="113" max="113" width="32.5703125" style="1" bestFit="1" customWidth="1"/>
    <col min="114" max="114" width="32.7109375" style="1" bestFit="1" customWidth="1"/>
    <col min="115" max="115" width="28.140625" style="1" bestFit="1" customWidth="1"/>
    <col min="116" max="116" width="14" style="1" bestFit="1" customWidth="1"/>
    <col min="117" max="117" width="28.5703125" style="1" bestFit="1" customWidth="1"/>
    <col min="118" max="118" width="31.5703125" style="1" bestFit="1" customWidth="1"/>
    <col min="119" max="119" width="31.7109375" style="1" bestFit="1" customWidth="1"/>
    <col min="120" max="120" width="22.85546875" style="1" bestFit="1" customWidth="1"/>
    <col min="121" max="121" width="22.42578125" style="1" bestFit="1" customWidth="1"/>
    <col min="122" max="122" width="32.28515625" style="1" bestFit="1" customWidth="1"/>
    <col min="123" max="123" width="33.140625" style="1" bestFit="1" customWidth="1"/>
    <col min="124" max="124" width="34.85546875" style="1" bestFit="1" customWidth="1"/>
    <col min="125" max="125" width="34" style="1" bestFit="1" customWidth="1"/>
    <col min="126" max="126" width="23.42578125" style="1" bestFit="1" customWidth="1"/>
    <col min="127" max="127" width="24" style="1" bestFit="1" customWidth="1"/>
    <col min="128" max="128" width="22" style="1" bestFit="1" customWidth="1"/>
    <col min="129" max="129" width="29" style="1" bestFit="1" customWidth="1"/>
    <col min="130" max="130" width="31.28515625" style="1" bestFit="1" customWidth="1"/>
    <col min="131" max="131" width="22.140625" style="1" bestFit="1" customWidth="1"/>
    <col min="132" max="132" width="23.5703125" style="1" bestFit="1" customWidth="1"/>
    <col min="133" max="133" width="28.28515625" style="1" bestFit="1" customWidth="1"/>
    <col min="134" max="134" width="22.28515625" style="1" bestFit="1" customWidth="1"/>
    <col min="135" max="135" width="21" style="1" bestFit="1" customWidth="1"/>
    <col min="136" max="136" width="15.42578125" style="1" bestFit="1" customWidth="1"/>
    <col min="137" max="137" width="37" style="1" bestFit="1" customWidth="1"/>
    <col min="138" max="138" width="37.28515625" style="1" bestFit="1" customWidth="1"/>
    <col min="139" max="139" width="37.5703125" style="1" bestFit="1" customWidth="1"/>
    <col min="140" max="140" width="36.7109375" style="1" bestFit="1" customWidth="1"/>
    <col min="141" max="141" width="35.7109375" style="1" bestFit="1" customWidth="1"/>
    <col min="142" max="142" width="32.28515625" style="1" bestFit="1" customWidth="1"/>
    <col min="143" max="143" width="32.5703125" style="1" bestFit="1" customWidth="1"/>
    <col min="144" max="144" width="22.140625" style="1" bestFit="1" customWidth="1"/>
    <col min="145" max="145" width="18.7109375" style="1" bestFit="1" customWidth="1"/>
    <col min="146" max="146" width="23.42578125" style="1" bestFit="1" customWidth="1"/>
    <col min="147" max="147" width="31.7109375" style="1" bestFit="1" customWidth="1"/>
    <col min="148" max="148" width="22.85546875" style="1" bestFit="1" customWidth="1"/>
    <col min="149" max="149" width="23.140625" style="1" bestFit="1" customWidth="1"/>
    <col min="150" max="150" width="30.7109375" style="1" bestFit="1" customWidth="1"/>
    <col min="151" max="151" width="28.85546875" style="1" bestFit="1" customWidth="1"/>
    <col min="152" max="152" width="22.140625" style="1" bestFit="1" customWidth="1"/>
    <col min="153" max="153" width="22.85546875" style="1" bestFit="1" customWidth="1"/>
    <col min="154" max="154" width="25.7109375" style="1" bestFit="1" customWidth="1"/>
    <col min="155" max="155" width="26.7109375" style="1" bestFit="1" customWidth="1"/>
    <col min="156" max="156" width="17.85546875" style="1" bestFit="1" customWidth="1"/>
    <col min="157" max="157" width="7" style="1" customWidth="1"/>
    <col min="158" max="158" width="22.85546875" style="1" bestFit="1" customWidth="1"/>
    <col min="159" max="159" width="16.85546875" style="1" bestFit="1" customWidth="1"/>
    <col min="160" max="160" width="21.140625" style="1" bestFit="1" customWidth="1"/>
    <col min="161" max="161" width="30" style="1" bestFit="1" customWidth="1"/>
    <col min="162" max="162" width="30.140625" style="1" bestFit="1" customWidth="1"/>
    <col min="163" max="163" width="32.5703125" style="1" bestFit="1" customWidth="1"/>
    <col min="164" max="164" width="30.7109375" style="1" bestFit="1" customWidth="1"/>
    <col min="165" max="165" width="26.42578125" style="1" bestFit="1" customWidth="1"/>
    <col min="166" max="166" width="33" style="1" bestFit="1" customWidth="1"/>
    <col min="167" max="167" width="27.7109375" style="1" bestFit="1" customWidth="1"/>
    <col min="168" max="168" width="29.85546875" style="1" bestFit="1" customWidth="1"/>
    <col min="169" max="169" width="21.5703125" style="1" bestFit="1" customWidth="1"/>
    <col min="170" max="170" width="31.85546875" style="1" bestFit="1" customWidth="1"/>
    <col min="171" max="171" width="27" style="1" bestFit="1" customWidth="1"/>
    <col min="172" max="172" width="30" style="1" bestFit="1" customWidth="1"/>
    <col min="173" max="173" width="29.85546875" style="1" bestFit="1" customWidth="1"/>
    <col min="174" max="174" width="30.42578125" style="1" bestFit="1" customWidth="1"/>
    <col min="175" max="175" width="10.5703125" style="1" bestFit="1" customWidth="1"/>
    <col min="176" max="176" width="29.28515625" style="1" bestFit="1" customWidth="1"/>
    <col min="177" max="177" width="31.5703125" style="1" bestFit="1" customWidth="1"/>
    <col min="178" max="178" width="30.28515625" style="1" bestFit="1" customWidth="1"/>
    <col min="179" max="179" width="28.28515625" style="1" bestFit="1" customWidth="1"/>
    <col min="180" max="180" width="16.5703125" style="1" bestFit="1" customWidth="1"/>
    <col min="181" max="181" width="31.7109375" style="1" bestFit="1" customWidth="1"/>
    <col min="182" max="182" width="26.140625" style="1" bestFit="1" customWidth="1"/>
    <col min="183" max="183" width="20" style="1" bestFit="1" customWidth="1"/>
    <col min="184" max="184" width="18" style="1" bestFit="1" customWidth="1"/>
    <col min="185" max="185" width="34" style="1" bestFit="1" customWidth="1"/>
    <col min="186" max="186" width="19.140625" style="1" bestFit="1" customWidth="1"/>
    <col min="187" max="187" width="23" style="1" bestFit="1" customWidth="1"/>
    <col min="188" max="188" width="23.28515625" style="1" bestFit="1" customWidth="1"/>
    <col min="189" max="189" width="19.85546875" style="1" bestFit="1" customWidth="1"/>
    <col min="190" max="190" width="33.5703125" style="1" bestFit="1" customWidth="1"/>
    <col min="191" max="191" width="23.85546875" style="1" bestFit="1" customWidth="1"/>
    <col min="192" max="192" width="19.7109375" style="1" bestFit="1" customWidth="1"/>
    <col min="193" max="193" width="22.42578125" style="1" bestFit="1" customWidth="1"/>
    <col min="194" max="194" width="31" style="1" bestFit="1" customWidth="1"/>
    <col min="195" max="195" width="21.140625" style="1" bestFit="1" customWidth="1"/>
    <col min="196" max="196" width="31.28515625" style="1" bestFit="1" customWidth="1"/>
    <col min="197" max="197" width="36.28515625" style="1" bestFit="1" customWidth="1"/>
    <col min="198" max="198" width="29.42578125" style="1" bestFit="1" customWidth="1"/>
    <col min="199" max="199" width="32.28515625" style="1" bestFit="1" customWidth="1"/>
    <col min="200" max="200" width="19.140625" style="1" bestFit="1" customWidth="1"/>
    <col min="201" max="201" width="30.28515625" style="1" bestFit="1" customWidth="1"/>
    <col min="202" max="202" width="32.7109375" style="1" bestFit="1" customWidth="1"/>
    <col min="203" max="203" width="31" style="1" bestFit="1" customWidth="1"/>
    <col min="204" max="204" width="31.7109375" style="1" bestFit="1" customWidth="1"/>
    <col min="205" max="205" width="16.7109375" style="1" bestFit="1" customWidth="1"/>
    <col min="206" max="206" width="28.28515625" style="1" bestFit="1" customWidth="1"/>
    <col min="207" max="207" width="29.85546875" style="1" bestFit="1" customWidth="1"/>
    <col min="208" max="208" width="21.42578125" style="1" bestFit="1" customWidth="1"/>
    <col min="209" max="209" width="11" style="1" bestFit="1" customWidth="1"/>
    <col min="210" max="210" width="23" style="1" bestFit="1" customWidth="1"/>
    <col min="211" max="211" width="30.5703125" style="1" bestFit="1" customWidth="1"/>
    <col min="212" max="212" width="31.28515625" style="1" bestFit="1" customWidth="1"/>
    <col min="213" max="213" width="29.28515625" style="1" bestFit="1" customWidth="1"/>
    <col min="214" max="214" width="20.5703125" style="1" bestFit="1" customWidth="1"/>
    <col min="215" max="215" width="27.28515625" style="1" bestFit="1" customWidth="1"/>
    <col min="216" max="216" width="27.85546875" style="1" bestFit="1" customWidth="1"/>
    <col min="217" max="217" width="30" style="1" bestFit="1" customWidth="1"/>
    <col min="218" max="218" width="20.140625" style="1" bestFit="1" customWidth="1"/>
    <col min="219" max="219" width="21.140625" style="1" bestFit="1" customWidth="1"/>
    <col min="220" max="220" width="27.7109375" style="1" bestFit="1" customWidth="1"/>
    <col min="221" max="221" width="23.42578125" style="1" bestFit="1" customWidth="1"/>
    <col min="222" max="222" width="28.5703125" style="1" bestFit="1" customWidth="1"/>
    <col min="223" max="223" width="25.85546875" style="1" bestFit="1" customWidth="1"/>
    <col min="224" max="224" width="28.28515625" style="1" bestFit="1" customWidth="1"/>
    <col min="225" max="225" width="35" style="1" bestFit="1" customWidth="1"/>
    <col min="226" max="226" width="22.7109375" style="1" bestFit="1" customWidth="1"/>
    <col min="227" max="227" width="32.85546875" style="1" bestFit="1" customWidth="1"/>
    <col min="228" max="228" width="31.42578125" style="1" bestFit="1" customWidth="1"/>
    <col min="229" max="229" width="33.28515625" style="1" bestFit="1" customWidth="1"/>
    <col min="230" max="230" width="34.5703125" style="1" bestFit="1" customWidth="1"/>
    <col min="231" max="231" width="22.42578125" style="1" bestFit="1" customWidth="1"/>
    <col min="232" max="232" width="30.7109375" style="1" bestFit="1" customWidth="1"/>
    <col min="233" max="233" width="29.7109375" style="1" bestFit="1" customWidth="1"/>
    <col min="234" max="234" width="27.28515625" style="1" bestFit="1" customWidth="1"/>
    <col min="235" max="235" width="30.28515625" style="1" bestFit="1" customWidth="1"/>
    <col min="236" max="236" width="27.42578125" style="1" bestFit="1" customWidth="1"/>
    <col min="237" max="237" width="21.5703125" style="1" bestFit="1" customWidth="1"/>
    <col min="238" max="238" width="15.5703125" style="1" bestFit="1" customWidth="1"/>
    <col min="239" max="240" width="30.5703125" style="1" bestFit="1" customWidth="1"/>
    <col min="241" max="241" width="29" style="1" bestFit="1" customWidth="1"/>
    <col min="242" max="242" width="28.140625" style="1" bestFit="1" customWidth="1"/>
    <col min="243" max="243" width="33.85546875" style="1" bestFit="1" customWidth="1"/>
    <col min="244" max="244" width="23" style="1" bestFit="1" customWidth="1"/>
    <col min="245" max="245" width="17.5703125" style="1" bestFit="1" customWidth="1"/>
    <col min="246" max="246" width="30.140625" style="1" bestFit="1" customWidth="1"/>
    <col min="247" max="247" width="28.28515625" style="1" bestFit="1" customWidth="1"/>
    <col min="248" max="248" width="21.85546875" style="1" bestFit="1" customWidth="1"/>
    <col min="249" max="249" width="24.5703125" style="1" bestFit="1" customWidth="1"/>
    <col min="250" max="250" width="10" style="1" bestFit="1" customWidth="1"/>
    <col min="251" max="251" width="30.5703125" style="1" bestFit="1" customWidth="1"/>
    <col min="252" max="252" width="21.85546875" style="1" bestFit="1" customWidth="1"/>
    <col min="253" max="253" width="17.85546875" style="1" bestFit="1" customWidth="1"/>
    <col min="254" max="254" width="28.85546875" style="1" bestFit="1" customWidth="1"/>
    <col min="255" max="255" width="31.140625" style="1" bestFit="1" customWidth="1"/>
    <col min="256" max="257" width="22.140625" style="1" bestFit="1" customWidth="1"/>
    <col min="258" max="258" width="34.7109375" style="1" bestFit="1" customWidth="1"/>
    <col min="259" max="259" width="36" style="1" bestFit="1" customWidth="1"/>
    <col min="260" max="260" width="22.5703125" style="1" bestFit="1" customWidth="1"/>
    <col min="261" max="261" width="32.5703125" style="1" bestFit="1" customWidth="1"/>
    <col min="262" max="262" width="32.7109375" style="1" bestFit="1" customWidth="1"/>
    <col min="263" max="263" width="28.140625" style="1" bestFit="1" customWidth="1"/>
    <col min="264" max="264" width="14" style="1" bestFit="1" customWidth="1"/>
    <col min="265" max="265" width="28.5703125" style="1" bestFit="1" customWidth="1"/>
    <col min="266" max="266" width="31.5703125" style="1" bestFit="1" customWidth="1"/>
    <col min="267" max="267" width="31.7109375" style="1" bestFit="1" customWidth="1"/>
    <col min="268" max="268" width="22.85546875" style="1" bestFit="1" customWidth="1"/>
    <col min="269" max="269" width="22.42578125" style="1" bestFit="1" customWidth="1"/>
    <col min="270" max="270" width="32.28515625" style="1" bestFit="1" customWidth="1"/>
    <col min="271" max="271" width="33.140625" style="1" bestFit="1" customWidth="1"/>
    <col min="272" max="272" width="34.85546875" style="1" bestFit="1" customWidth="1"/>
    <col min="273" max="273" width="34" style="1" bestFit="1" customWidth="1"/>
    <col min="274" max="274" width="23.42578125" style="1" bestFit="1" customWidth="1"/>
    <col min="275" max="275" width="24" style="1" bestFit="1" customWidth="1"/>
    <col min="276" max="276" width="22" style="1" bestFit="1" customWidth="1"/>
    <col min="277" max="277" width="29" style="1" bestFit="1" customWidth="1"/>
    <col min="278" max="278" width="31.28515625" style="1" bestFit="1" customWidth="1"/>
    <col min="279" max="279" width="22.140625" style="1" bestFit="1" customWidth="1"/>
    <col min="280" max="280" width="23.5703125" style="1" bestFit="1" customWidth="1"/>
    <col min="281" max="281" width="28.28515625" style="1" bestFit="1" customWidth="1"/>
    <col min="282" max="282" width="22.28515625" style="1" bestFit="1" customWidth="1"/>
    <col min="283" max="283" width="21" style="1" bestFit="1" customWidth="1"/>
    <col min="284" max="284" width="15.42578125" style="1" bestFit="1" customWidth="1"/>
    <col min="285" max="285" width="37" style="1" bestFit="1" customWidth="1"/>
    <col min="286" max="286" width="37.28515625" style="1" bestFit="1" customWidth="1"/>
    <col min="287" max="287" width="37.5703125" style="1" bestFit="1" customWidth="1"/>
    <col min="288" max="288" width="36.7109375" style="1" bestFit="1" customWidth="1"/>
    <col min="289" max="289" width="35.7109375" style="1" bestFit="1" customWidth="1"/>
    <col min="290" max="290" width="32.28515625" style="1" bestFit="1" customWidth="1"/>
    <col min="291" max="291" width="32.5703125" style="1" bestFit="1" customWidth="1"/>
    <col min="292" max="292" width="22.140625" style="1" bestFit="1" customWidth="1"/>
    <col min="293" max="293" width="18.7109375" style="1" bestFit="1" customWidth="1"/>
    <col min="294" max="294" width="23.42578125" style="1" bestFit="1" customWidth="1"/>
    <col min="295" max="295" width="31.7109375" style="1" bestFit="1" customWidth="1"/>
    <col min="296" max="296" width="22.85546875" style="1" bestFit="1" customWidth="1"/>
    <col min="297" max="297" width="23.140625" style="1" bestFit="1" customWidth="1"/>
    <col min="298" max="298" width="30.7109375" style="1" bestFit="1" customWidth="1"/>
    <col min="299" max="299" width="28.85546875" style="1" bestFit="1" customWidth="1"/>
    <col min="300" max="300" width="22.140625" style="1" bestFit="1" customWidth="1"/>
    <col min="301" max="301" width="22.85546875" style="1" bestFit="1" customWidth="1"/>
    <col min="302" max="302" width="25.7109375" style="1" bestFit="1" customWidth="1"/>
    <col min="303" max="303" width="26.7109375" style="1" bestFit="1" customWidth="1"/>
    <col min="304" max="304" width="17.85546875" style="1" bestFit="1" customWidth="1"/>
    <col min="305" max="305" width="7" style="1" customWidth="1"/>
    <col min="306" max="306" width="22.85546875" style="1" bestFit="1" customWidth="1"/>
    <col min="307" max="307" width="16.85546875" style="1" bestFit="1" customWidth="1"/>
    <col min="308" max="308" width="21.140625" style="1" bestFit="1" customWidth="1"/>
    <col min="309" max="309" width="19" style="1" bestFit="1" customWidth="1"/>
    <col min="310" max="310" width="15.28515625" style="1" bestFit="1" customWidth="1"/>
    <col min="311" max="16384" width="9.140625" style="1"/>
  </cols>
  <sheetData>
    <row r="1" spans="2:8">
      <c r="B1" s="205"/>
      <c r="C1" s="205"/>
      <c r="D1" s="205"/>
      <c r="E1" s="205"/>
      <c r="F1" s="206"/>
      <c r="G1" s="206"/>
      <c r="H1" s="207"/>
    </row>
    <row r="2" spans="2:8" ht="23.25" customHeight="1" thickBot="1">
      <c r="B2" s="205"/>
      <c r="C2" s="411" t="s">
        <v>1800</v>
      </c>
      <c r="D2" s="411"/>
      <c r="E2" s="411"/>
      <c r="F2" s="411"/>
      <c r="G2" s="411"/>
      <c r="H2" s="207"/>
    </row>
    <row r="3" spans="2:8" ht="8.25" customHeight="1" thickTop="1">
      <c r="B3" s="205"/>
      <c r="C3" s="205"/>
      <c r="D3" s="205"/>
      <c r="E3" s="205"/>
      <c r="F3" s="206"/>
      <c r="G3" s="206"/>
      <c r="H3" s="207"/>
    </row>
    <row r="4" spans="2:8" ht="15.75" thickBot="1">
      <c r="B4" s="205"/>
      <c r="C4" s="3" t="s">
        <v>1801</v>
      </c>
      <c r="D4" s="209"/>
      <c r="E4" s="205"/>
      <c r="F4" s="206"/>
      <c r="G4" s="206"/>
      <c r="H4" s="207"/>
    </row>
    <row r="5" spans="2:8" ht="4.5" customHeight="1">
      <c r="B5" s="205"/>
      <c r="C5" s="205"/>
      <c r="D5" s="205"/>
      <c r="E5" s="205"/>
      <c r="F5" s="206"/>
      <c r="G5" s="206"/>
      <c r="H5" s="207"/>
    </row>
    <row r="6" spans="2:8">
      <c r="B6" s="205"/>
      <c r="C6" s="210" t="s">
        <v>2</v>
      </c>
      <c r="D6" s="211" t="s">
        <v>4</v>
      </c>
      <c r="E6" s="211" t="s">
        <v>28</v>
      </c>
      <c r="F6" s="212" t="s">
        <v>1798</v>
      </c>
      <c r="G6" s="212" t="s">
        <v>11</v>
      </c>
      <c r="H6" s="207"/>
    </row>
    <row r="7" spans="2:8">
      <c r="B7" s="205"/>
      <c r="C7" s="213" t="s">
        <v>1802</v>
      </c>
      <c r="D7" s="214" t="s">
        <v>7</v>
      </c>
      <c r="E7" s="215">
        <v>4832720</v>
      </c>
      <c r="F7" s="215">
        <v>1610745.5759999999</v>
      </c>
      <c r="G7" s="215">
        <v>6443465.5759999994</v>
      </c>
      <c r="H7" s="207"/>
    </row>
    <row r="8" spans="2:8">
      <c r="B8" s="205"/>
      <c r="C8" s="213" t="s">
        <v>732</v>
      </c>
      <c r="D8" s="214">
        <v>3</v>
      </c>
      <c r="E8" s="215">
        <v>411736</v>
      </c>
      <c r="F8" s="215">
        <v>137231.60879999999</v>
      </c>
      <c r="G8" s="215">
        <v>548967.60880000005</v>
      </c>
      <c r="H8" s="207"/>
    </row>
    <row r="9" spans="2:8">
      <c r="B9" s="205"/>
      <c r="C9" s="213" t="s">
        <v>1803</v>
      </c>
      <c r="D9" s="214">
        <v>107</v>
      </c>
      <c r="E9" s="215">
        <v>27514437</v>
      </c>
      <c r="F9" s="215">
        <v>9170561.8520999998</v>
      </c>
      <c r="G9" s="215">
        <v>36684998.8521</v>
      </c>
      <c r="H9" s="207"/>
    </row>
    <row r="10" spans="2:8">
      <c r="B10" s="205"/>
      <c r="C10" s="213" t="s">
        <v>1804</v>
      </c>
      <c r="D10" s="214">
        <v>2</v>
      </c>
      <c r="E10" s="215">
        <v>120000</v>
      </c>
      <c r="F10" s="215">
        <v>39996</v>
      </c>
      <c r="G10" s="215">
        <v>159996</v>
      </c>
      <c r="H10" s="207"/>
    </row>
    <row r="11" spans="2:8">
      <c r="B11" s="205"/>
      <c r="C11" s="213" t="s">
        <v>1805</v>
      </c>
      <c r="D11" s="214">
        <v>2</v>
      </c>
      <c r="E11" s="215">
        <v>60000</v>
      </c>
      <c r="F11" s="215">
        <v>19998</v>
      </c>
      <c r="G11" s="215">
        <v>79998</v>
      </c>
      <c r="H11" s="207"/>
    </row>
    <row r="12" spans="2:8">
      <c r="B12" s="205"/>
      <c r="C12" s="213" t="s">
        <v>8</v>
      </c>
      <c r="D12" s="214">
        <v>12</v>
      </c>
      <c r="E12" s="215">
        <v>2864300</v>
      </c>
      <c r="F12" s="215">
        <v>954671.19</v>
      </c>
      <c r="G12" s="215">
        <v>3818971.19</v>
      </c>
      <c r="H12" s="207"/>
    </row>
    <row r="13" spans="2:8">
      <c r="B13" s="205"/>
      <c r="C13" s="213" t="s">
        <v>19</v>
      </c>
      <c r="D13" s="214">
        <v>24</v>
      </c>
      <c r="E13" s="215">
        <v>2197717</v>
      </c>
      <c r="F13" s="215">
        <v>732499.07609999995</v>
      </c>
      <c r="G13" s="215">
        <v>2930216.0761000002</v>
      </c>
      <c r="H13" s="207"/>
    </row>
    <row r="14" spans="2:8">
      <c r="B14" s="205"/>
      <c r="C14" s="213" t="s">
        <v>1806</v>
      </c>
      <c r="D14" s="214">
        <v>4</v>
      </c>
      <c r="E14" s="215">
        <v>132000</v>
      </c>
      <c r="F14" s="215">
        <v>43995.6</v>
      </c>
      <c r="G14" s="215">
        <v>175995.6</v>
      </c>
      <c r="H14" s="207"/>
    </row>
    <row r="15" spans="2:8">
      <c r="B15" s="205"/>
      <c r="C15" s="213" t="s">
        <v>1807</v>
      </c>
      <c r="D15" s="214">
        <v>16</v>
      </c>
      <c r="E15" s="215">
        <v>599950</v>
      </c>
      <c r="F15" s="215">
        <v>199963.33499999999</v>
      </c>
      <c r="G15" s="215">
        <v>799913.33499999996</v>
      </c>
      <c r="H15" s="207"/>
    </row>
    <row r="16" spans="2:8">
      <c r="B16" s="205"/>
      <c r="C16" s="213" t="s">
        <v>1808</v>
      </c>
      <c r="D16" s="214">
        <v>4</v>
      </c>
      <c r="E16" s="215">
        <v>229166.66999999998</v>
      </c>
      <c r="F16" s="215">
        <v>76381.25111099999</v>
      </c>
      <c r="G16" s="215">
        <v>305547.921111</v>
      </c>
      <c r="H16" s="207"/>
    </row>
    <row r="17" spans="2:8">
      <c r="B17" s="205"/>
      <c r="C17" s="213" t="s">
        <v>20</v>
      </c>
      <c r="D17" s="214">
        <v>9</v>
      </c>
      <c r="E17" s="215">
        <v>608333</v>
      </c>
      <c r="F17" s="215">
        <v>202757.38889999999</v>
      </c>
      <c r="G17" s="215">
        <v>811090.38890000002</v>
      </c>
      <c r="H17" s="207"/>
    </row>
    <row r="18" spans="2:8">
      <c r="B18" s="205"/>
      <c r="C18" s="213" t="s">
        <v>637</v>
      </c>
      <c r="D18" s="214">
        <v>34</v>
      </c>
      <c r="E18" s="215">
        <v>3188019.7600000002</v>
      </c>
      <c r="F18" s="215">
        <v>1062566.9860080001</v>
      </c>
      <c r="G18" s="215">
        <v>4250586.7460080003</v>
      </c>
      <c r="H18" s="207"/>
    </row>
    <row r="19" spans="2:8">
      <c r="B19" s="205"/>
      <c r="C19" s="216" t="s">
        <v>105</v>
      </c>
      <c r="D19" s="211">
        <v>220</v>
      </c>
      <c r="E19" s="217">
        <v>42758379.43</v>
      </c>
      <c r="F19" s="218">
        <v>14251367.864018999</v>
      </c>
      <c r="G19" s="218">
        <v>57009747.294018999</v>
      </c>
      <c r="H19" s="207"/>
    </row>
    <row r="20" spans="2:8">
      <c r="B20" s="205"/>
      <c r="C20" s="209"/>
      <c r="D20" s="209"/>
      <c r="E20" s="209"/>
      <c r="F20" s="206"/>
      <c r="G20" s="206"/>
      <c r="H20" s="207"/>
    </row>
    <row r="21" spans="2:8" ht="15.75" thickBot="1">
      <c r="B21" s="205"/>
      <c r="C21" s="3" t="s">
        <v>1809</v>
      </c>
      <c r="D21" s="209"/>
      <c r="E21" s="205"/>
      <c r="F21" s="206"/>
      <c r="G21" s="206"/>
      <c r="H21" s="207"/>
    </row>
    <row r="22" spans="2:8" ht="3.75" customHeight="1">
      <c r="B22" s="205"/>
      <c r="C22" s="209"/>
      <c r="D22" s="209"/>
      <c r="E22" s="205"/>
      <c r="F22" s="206"/>
      <c r="G22" s="206"/>
      <c r="H22" s="207"/>
    </row>
    <row r="23" spans="2:8">
      <c r="B23" s="205"/>
      <c r="C23" s="210" t="s">
        <v>2</v>
      </c>
      <c r="D23" s="219" t="s">
        <v>4</v>
      </c>
      <c r="E23" s="219" t="s">
        <v>1810</v>
      </c>
      <c r="F23" s="219" t="s">
        <v>1798</v>
      </c>
      <c r="G23" s="220" t="s">
        <v>11</v>
      </c>
      <c r="H23" s="207"/>
    </row>
    <row r="24" spans="2:8">
      <c r="B24" s="205"/>
      <c r="C24" s="213" t="s">
        <v>1811</v>
      </c>
      <c r="D24" s="221">
        <v>3</v>
      </c>
      <c r="E24" s="215">
        <v>1338389</v>
      </c>
      <c r="F24" s="215">
        <v>446085.05369999999</v>
      </c>
      <c r="G24" s="215">
        <v>1784474.0537</v>
      </c>
      <c r="H24" s="207"/>
    </row>
    <row r="25" spans="2:8">
      <c r="B25" s="205"/>
      <c r="C25" s="213" t="s">
        <v>515</v>
      </c>
      <c r="D25" s="214">
        <v>104</v>
      </c>
      <c r="E25" s="215">
        <v>9259997</v>
      </c>
      <c r="F25" s="215">
        <v>3086357.0000999998</v>
      </c>
      <c r="G25" s="215">
        <v>12346354.0001</v>
      </c>
      <c r="H25" s="207"/>
    </row>
    <row r="26" spans="2:8">
      <c r="B26" s="205"/>
      <c r="C26" s="213" t="s">
        <v>1812</v>
      </c>
      <c r="D26" s="214">
        <v>2</v>
      </c>
      <c r="E26" s="215">
        <v>60000</v>
      </c>
      <c r="F26" s="215">
        <v>19998</v>
      </c>
      <c r="G26" s="215">
        <v>79998</v>
      </c>
      <c r="H26" s="207"/>
    </row>
    <row r="27" spans="2:8">
      <c r="B27" s="205"/>
      <c r="C27" s="213" t="s">
        <v>1813</v>
      </c>
      <c r="D27" s="214">
        <v>2</v>
      </c>
      <c r="E27" s="215">
        <v>30000</v>
      </c>
      <c r="F27" s="215">
        <v>9999</v>
      </c>
      <c r="G27" s="215">
        <v>39999</v>
      </c>
      <c r="H27" s="207"/>
    </row>
    <row r="28" spans="2:8">
      <c r="B28" s="205"/>
      <c r="C28" s="213" t="s">
        <v>8</v>
      </c>
      <c r="D28" s="214">
        <v>5</v>
      </c>
      <c r="E28" s="215">
        <v>671200</v>
      </c>
      <c r="F28" s="215">
        <v>223710.96</v>
      </c>
      <c r="G28" s="215">
        <v>894910.96</v>
      </c>
      <c r="H28" s="207"/>
    </row>
    <row r="29" spans="2:8">
      <c r="B29" s="205"/>
      <c r="C29" s="213" t="s">
        <v>19</v>
      </c>
      <c r="D29" s="214">
        <v>13</v>
      </c>
      <c r="E29" s="215">
        <v>849892</v>
      </c>
      <c r="F29" s="215">
        <v>283269.0036</v>
      </c>
      <c r="G29" s="215">
        <v>1133161.0035999999</v>
      </c>
      <c r="H29" s="207"/>
    </row>
    <row r="30" spans="2:8">
      <c r="B30" s="205"/>
      <c r="C30" s="213" t="s">
        <v>1806</v>
      </c>
      <c r="D30" s="214">
        <v>4</v>
      </c>
      <c r="E30" s="215">
        <v>132000</v>
      </c>
      <c r="F30" s="215">
        <v>43995.6</v>
      </c>
      <c r="G30" s="215">
        <v>175995.6</v>
      </c>
      <c r="H30" s="207"/>
    </row>
    <row r="31" spans="2:8">
      <c r="B31" s="205"/>
      <c r="C31" s="213" t="s">
        <v>1814</v>
      </c>
      <c r="D31" s="214">
        <v>10</v>
      </c>
      <c r="E31" s="215">
        <v>449974</v>
      </c>
      <c r="F31" s="215">
        <v>149976.33419999998</v>
      </c>
      <c r="G31" s="215">
        <v>599950.33419999992</v>
      </c>
      <c r="H31" s="207"/>
    </row>
    <row r="32" spans="2:8">
      <c r="B32" s="205"/>
      <c r="C32" s="213" t="s">
        <v>1808</v>
      </c>
      <c r="D32" s="214">
        <v>4</v>
      </c>
      <c r="E32" s="215">
        <v>100000</v>
      </c>
      <c r="F32" s="215">
        <v>33330</v>
      </c>
      <c r="G32" s="215">
        <v>133330</v>
      </c>
      <c r="H32" s="207"/>
    </row>
    <row r="33" spans="1:9">
      <c r="B33" s="205"/>
      <c r="C33" s="213" t="s">
        <v>1815</v>
      </c>
      <c r="D33" s="214">
        <v>4</v>
      </c>
      <c r="E33" s="215">
        <v>166667</v>
      </c>
      <c r="F33" s="215">
        <v>55550.111100000002</v>
      </c>
      <c r="G33" s="215">
        <v>222217.11110000001</v>
      </c>
      <c r="H33" s="207"/>
    </row>
    <row r="34" spans="1:9">
      <c r="B34" s="205"/>
      <c r="C34" s="216" t="s">
        <v>105</v>
      </c>
      <c r="D34" s="211">
        <v>151</v>
      </c>
      <c r="E34" s="217">
        <v>13058119</v>
      </c>
      <c r="F34" s="217">
        <v>4352271.0627000006</v>
      </c>
      <c r="G34" s="218">
        <v>17410390.062699996</v>
      </c>
      <c r="H34" s="207"/>
    </row>
    <row r="35" spans="1:9">
      <c r="B35" s="205"/>
      <c r="C35" s="209"/>
      <c r="D35" s="209"/>
      <c r="E35" s="209"/>
      <c r="F35" s="209"/>
      <c r="G35" s="206"/>
      <c r="H35" s="207"/>
    </row>
    <row r="36" spans="1:9">
      <c r="B36" s="205"/>
      <c r="C36" s="209"/>
      <c r="D36" s="209"/>
      <c r="E36" s="209"/>
      <c r="F36" s="209"/>
      <c r="G36" s="206"/>
      <c r="H36" s="207"/>
    </row>
    <row r="37" spans="1:9" ht="15.75" thickBot="1">
      <c r="A37" s="222" t="s">
        <v>1816</v>
      </c>
      <c r="B37" s="222"/>
      <c r="C37" s="222"/>
      <c r="D37" s="222"/>
      <c r="E37" s="222"/>
      <c r="F37" s="222"/>
      <c r="G37" s="222"/>
      <c r="H37" s="222"/>
      <c r="I37" s="222"/>
    </row>
    <row r="38" spans="1:9" ht="15.75" thickBot="1">
      <c r="A38" s="223" t="s">
        <v>522</v>
      </c>
      <c r="B38" s="223" t="s">
        <v>525</v>
      </c>
      <c r="C38" s="223" t="s">
        <v>533</v>
      </c>
      <c r="D38" s="223" t="s">
        <v>1817</v>
      </c>
      <c r="E38" s="223" t="s">
        <v>39</v>
      </c>
      <c r="F38" s="224" t="s">
        <v>1724</v>
      </c>
      <c r="G38" s="224" t="s">
        <v>1725</v>
      </c>
      <c r="H38" s="225" t="s">
        <v>42</v>
      </c>
      <c r="I38" s="225" t="s">
        <v>43</v>
      </c>
    </row>
    <row r="39" spans="1:9">
      <c r="A39" s="226">
        <v>499470</v>
      </c>
      <c r="B39" s="2" t="s">
        <v>1792</v>
      </c>
      <c r="C39" s="2" t="s">
        <v>1811</v>
      </c>
      <c r="D39" s="2" t="s">
        <v>258</v>
      </c>
      <c r="E39" s="2" t="s">
        <v>1727</v>
      </c>
      <c r="F39" s="227">
        <v>42248</v>
      </c>
      <c r="G39" s="227">
        <v>43190</v>
      </c>
      <c r="H39" s="208">
        <v>75000</v>
      </c>
      <c r="I39" s="228">
        <v>24997.5</v>
      </c>
    </row>
    <row r="40" spans="1:9">
      <c r="A40" s="226">
        <v>499942</v>
      </c>
      <c r="B40" s="2" t="s">
        <v>1729</v>
      </c>
      <c r="C40" s="2" t="s">
        <v>1811</v>
      </c>
      <c r="D40" s="2" t="s">
        <v>1730</v>
      </c>
      <c r="E40" s="2" t="s">
        <v>1727</v>
      </c>
      <c r="F40" s="227">
        <v>42248</v>
      </c>
      <c r="G40" s="227">
        <v>44651</v>
      </c>
      <c r="H40" s="208">
        <v>830914</v>
      </c>
      <c r="I40" s="228">
        <v>276943.63620000001</v>
      </c>
    </row>
    <row r="41" spans="1:9">
      <c r="A41" s="226">
        <v>500737</v>
      </c>
      <c r="B41" s="2" t="s">
        <v>1729</v>
      </c>
      <c r="C41" s="2" t="s">
        <v>1811</v>
      </c>
      <c r="D41" s="2" t="s">
        <v>1730</v>
      </c>
      <c r="E41" s="2" t="s">
        <v>1727</v>
      </c>
      <c r="F41" s="227">
        <v>42248</v>
      </c>
      <c r="G41" s="227">
        <v>44651</v>
      </c>
      <c r="H41" s="208">
        <v>432475</v>
      </c>
      <c r="I41" s="228">
        <v>144143.91749999998</v>
      </c>
    </row>
    <row r="42" spans="1:9">
      <c r="A42" s="226">
        <v>501332</v>
      </c>
      <c r="B42" s="2" t="s">
        <v>1818</v>
      </c>
      <c r="C42" s="2" t="s">
        <v>515</v>
      </c>
      <c r="D42" s="2" t="s">
        <v>1819</v>
      </c>
      <c r="E42" s="2" t="s">
        <v>1727</v>
      </c>
      <c r="F42" s="227">
        <v>42979</v>
      </c>
      <c r="G42" s="227">
        <v>43343</v>
      </c>
      <c r="H42" s="208">
        <v>83000</v>
      </c>
      <c r="I42" s="228">
        <v>27663.899999999998</v>
      </c>
    </row>
    <row r="43" spans="1:9">
      <c r="A43" s="226">
        <v>501332</v>
      </c>
      <c r="B43" s="2">
        <v>208846</v>
      </c>
      <c r="C43" s="2" t="s">
        <v>515</v>
      </c>
      <c r="D43" s="2" t="s">
        <v>1820</v>
      </c>
      <c r="E43" s="2" t="s">
        <v>1727</v>
      </c>
      <c r="F43" s="227">
        <v>42979</v>
      </c>
      <c r="G43" s="227">
        <v>43343</v>
      </c>
      <c r="H43" s="208">
        <v>25000</v>
      </c>
      <c r="I43" s="228">
        <v>8332.5</v>
      </c>
    </row>
    <row r="44" spans="1:9">
      <c r="A44" s="226">
        <v>501332</v>
      </c>
      <c r="B44" s="2">
        <v>212404</v>
      </c>
      <c r="C44" s="2" t="s">
        <v>515</v>
      </c>
      <c r="D44" s="2" t="s">
        <v>1821</v>
      </c>
      <c r="E44" s="2" t="s">
        <v>68</v>
      </c>
      <c r="F44" s="227">
        <v>42979</v>
      </c>
      <c r="G44" s="227">
        <v>43343</v>
      </c>
      <c r="H44" s="208">
        <v>83000</v>
      </c>
      <c r="I44" s="228">
        <v>27663.899999999998</v>
      </c>
    </row>
    <row r="45" spans="1:9">
      <c r="A45" s="226">
        <v>501332</v>
      </c>
      <c r="B45" s="2" t="s">
        <v>1434</v>
      </c>
      <c r="C45" s="2" t="s">
        <v>515</v>
      </c>
      <c r="D45" s="2" t="s">
        <v>1822</v>
      </c>
      <c r="E45" s="2" t="s">
        <v>68</v>
      </c>
      <c r="F45" s="227">
        <v>42979</v>
      </c>
      <c r="G45" s="227">
        <v>43343</v>
      </c>
      <c r="H45" s="208">
        <v>60000</v>
      </c>
      <c r="I45" s="228">
        <v>19998</v>
      </c>
    </row>
    <row r="46" spans="1:9">
      <c r="A46" s="226">
        <v>501332</v>
      </c>
      <c r="B46" s="2" t="s">
        <v>1823</v>
      </c>
      <c r="C46" s="2" t="s">
        <v>515</v>
      </c>
      <c r="D46" s="2" t="s">
        <v>1824</v>
      </c>
      <c r="E46" s="2" t="s">
        <v>1727</v>
      </c>
      <c r="F46" s="227">
        <v>42979</v>
      </c>
      <c r="G46" s="227">
        <v>43343</v>
      </c>
      <c r="H46" s="208">
        <v>25000</v>
      </c>
      <c r="I46" s="228">
        <v>8332.5</v>
      </c>
    </row>
    <row r="47" spans="1:9">
      <c r="A47" s="226">
        <v>501333</v>
      </c>
      <c r="B47" s="2" t="s">
        <v>1825</v>
      </c>
      <c r="C47" s="2" t="s">
        <v>515</v>
      </c>
      <c r="D47" s="2" t="s">
        <v>1826</v>
      </c>
      <c r="E47" s="2" t="s">
        <v>1727</v>
      </c>
      <c r="F47" s="227">
        <v>42979</v>
      </c>
      <c r="G47" s="227">
        <v>43343</v>
      </c>
      <c r="H47" s="208">
        <v>70000</v>
      </c>
      <c r="I47" s="228">
        <v>23331</v>
      </c>
    </row>
    <row r="48" spans="1:9">
      <c r="A48" s="226">
        <v>501333</v>
      </c>
      <c r="B48" s="2" t="s">
        <v>1827</v>
      </c>
      <c r="C48" s="2" t="s">
        <v>515</v>
      </c>
      <c r="D48" s="2" t="s">
        <v>1828</v>
      </c>
      <c r="E48" s="2" t="s">
        <v>1727</v>
      </c>
      <c r="F48" s="227">
        <v>42979</v>
      </c>
      <c r="G48" s="227">
        <v>43343</v>
      </c>
      <c r="H48" s="208">
        <v>60000</v>
      </c>
      <c r="I48" s="228">
        <v>19998</v>
      </c>
    </row>
    <row r="49" spans="1:9">
      <c r="A49" s="226">
        <v>501333</v>
      </c>
      <c r="B49" s="2" t="s">
        <v>1829</v>
      </c>
      <c r="C49" s="2" t="s">
        <v>515</v>
      </c>
      <c r="D49" s="2" t="s">
        <v>1830</v>
      </c>
      <c r="E49" s="2" t="s">
        <v>53</v>
      </c>
      <c r="F49" s="227">
        <v>42979</v>
      </c>
      <c r="G49" s="227">
        <v>43343</v>
      </c>
      <c r="H49" s="208">
        <v>50000</v>
      </c>
      <c r="I49" s="228">
        <v>16665</v>
      </c>
    </row>
    <row r="50" spans="1:9">
      <c r="A50" s="226">
        <v>501333</v>
      </c>
      <c r="B50" s="2" t="s">
        <v>1831</v>
      </c>
      <c r="C50" s="2" t="s">
        <v>515</v>
      </c>
      <c r="D50" s="2" t="s">
        <v>1832</v>
      </c>
      <c r="E50" s="2" t="s">
        <v>68</v>
      </c>
      <c r="F50" s="227">
        <v>42979</v>
      </c>
      <c r="G50" s="227">
        <v>43343</v>
      </c>
      <c r="H50" s="208">
        <v>90000</v>
      </c>
      <c r="I50" s="228">
        <v>29997</v>
      </c>
    </row>
    <row r="51" spans="1:9">
      <c r="A51" s="226">
        <v>501333</v>
      </c>
      <c r="B51" s="2" t="s">
        <v>1434</v>
      </c>
      <c r="C51" s="2" t="s">
        <v>515</v>
      </c>
      <c r="D51" s="2" t="s">
        <v>1833</v>
      </c>
      <c r="E51" s="2" t="s">
        <v>68</v>
      </c>
      <c r="F51" s="227">
        <v>42979</v>
      </c>
      <c r="G51" s="227">
        <v>43343</v>
      </c>
      <c r="H51" s="208">
        <v>90000</v>
      </c>
      <c r="I51" s="228">
        <v>29997</v>
      </c>
    </row>
    <row r="52" spans="1:9">
      <c r="A52" s="226">
        <v>501333</v>
      </c>
      <c r="B52" s="2" t="s">
        <v>1834</v>
      </c>
      <c r="C52" s="2" t="s">
        <v>515</v>
      </c>
      <c r="D52" s="2" t="s">
        <v>1835</v>
      </c>
      <c r="E52" s="2" t="s">
        <v>68</v>
      </c>
      <c r="F52" s="227">
        <v>42979</v>
      </c>
      <c r="G52" s="227">
        <v>43343</v>
      </c>
      <c r="H52" s="208">
        <v>45000</v>
      </c>
      <c r="I52" s="228">
        <v>14998.5</v>
      </c>
    </row>
    <row r="53" spans="1:9">
      <c r="A53" s="226">
        <v>501333</v>
      </c>
      <c r="B53" s="2" t="s">
        <v>1823</v>
      </c>
      <c r="C53" s="2" t="s">
        <v>515</v>
      </c>
      <c r="D53" s="2" t="s">
        <v>1836</v>
      </c>
      <c r="E53" s="2" t="s">
        <v>1727</v>
      </c>
      <c r="F53" s="227">
        <v>42979</v>
      </c>
      <c r="G53" s="227">
        <v>43343</v>
      </c>
      <c r="H53" s="208">
        <v>60000</v>
      </c>
      <c r="I53" s="228">
        <v>19998</v>
      </c>
    </row>
    <row r="54" spans="1:9">
      <c r="A54" s="226">
        <v>501333</v>
      </c>
      <c r="B54" s="2" t="s">
        <v>1837</v>
      </c>
      <c r="C54" s="2" t="s">
        <v>515</v>
      </c>
      <c r="D54" s="2" t="s">
        <v>1838</v>
      </c>
      <c r="E54" s="2" t="s">
        <v>1727</v>
      </c>
      <c r="F54" s="227">
        <v>42979</v>
      </c>
      <c r="G54" s="227">
        <v>43343</v>
      </c>
      <c r="H54" s="208">
        <v>90000</v>
      </c>
      <c r="I54" s="228">
        <v>29997</v>
      </c>
    </row>
    <row r="55" spans="1:9">
      <c r="A55" s="226">
        <v>501333</v>
      </c>
      <c r="B55" s="2" t="s">
        <v>1839</v>
      </c>
      <c r="C55" s="2" t="s">
        <v>515</v>
      </c>
      <c r="D55" s="2" t="s">
        <v>1840</v>
      </c>
      <c r="E55" s="2" t="s">
        <v>53</v>
      </c>
      <c r="F55" s="227">
        <v>42979</v>
      </c>
      <c r="G55" s="227">
        <v>43343</v>
      </c>
      <c r="H55" s="208">
        <v>145000</v>
      </c>
      <c r="I55" s="228">
        <v>48328.5</v>
      </c>
    </row>
    <row r="56" spans="1:9">
      <c r="A56" s="226">
        <v>501333</v>
      </c>
      <c r="B56" s="2" t="s">
        <v>1841</v>
      </c>
      <c r="C56" s="2" t="s">
        <v>515</v>
      </c>
      <c r="D56" s="2" t="s">
        <v>1842</v>
      </c>
      <c r="E56" s="2" t="s">
        <v>1727</v>
      </c>
      <c r="F56" s="227">
        <v>42979</v>
      </c>
      <c r="G56" s="227">
        <v>43343</v>
      </c>
      <c r="H56" s="208">
        <v>90000</v>
      </c>
      <c r="I56" s="228">
        <v>29997</v>
      </c>
    </row>
    <row r="57" spans="1:9">
      <c r="A57" s="226">
        <v>501333</v>
      </c>
      <c r="B57" s="2" t="s">
        <v>1756</v>
      </c>
      <c r="C57" s="2" t="s">
        <v>515</v>
      </c>
      <c r="D57" s="2" t="s">
        <v>1843</v>
      </c>
      <c r="E57" s="2" t="s">
        <v>1727</v>
      </c>
      <c r="F57" s="227">
        <v>42979</v>
      </c>
      <c r="G57" s="227">
        <v>43343</v>
      </c>
      <c r="H57" s="208">
        <v>75000</v>
      </c>
      <c r="I57" s="228">
        <v>24997.5</v>
      </c>
    </row>
    <row r="58" spans="1:9">
      <c r="A58" s="226">
        <v>501333</v>
      </c>
      <c r="B58" s="2" t="s">
        <v>1844</v>
      </c>
      <c r="C58" s="2" t="s">
        <v>515</v>
      </c>
      <c r="D58" s="2" t="s">
        <v>1845</v>
      </c>
      <c r="E58" s="2" t="s">
        <v>1727</v>
      </c>
      <c r="F58" s="227">
        <v>42979</v>
      </c>
      <c r="G58" s="227">
        <v>43343</v>
      </c>
      <c r="H58" s="208">
        <v>92024</v>
      </c>
      <c r="I58" s="228">
        <v>30671.599199999997</v>
      </c>
    </row>
    <row r="59" spans="1:9">
      <c r="A59" s="226">
        <v>501333</v>
      </c>
      <c r="B59" s="2" t="s">
        <v>1758</v>
      </c>
      <c r="C59" s="2" t="s">
        <v>515</v>
      </c>
      <c r="D59" s="2" t="s">
        <v>1846</v>
      </c>
      <c r="E59" s="2" t="s">
        <v>68</v>
      </c>
      <c r="F59" s="227">
        <v>42979</v>
      </c>
      <c r="G59" s="227">
        <v>43343</v>
      </c>
      <c r="H59" s="208">
        <v>40000</v>
      </c>
      <c r="I59" s="228">
        <v>13332</v>
      </c>
    </row>
    <row r="60" spans="1:9">
      <c r="A60" s="226">
        <v>501334</v>
      </c>
      <c r="B60" s="2" t="s">
        <v>1825</v>
      </c>
      <c r="C60" s="2" t="s">
        <v>515</v>
      </c>
      <c r="D60" s="2" t="s">
        <v>1847</v>
      </c>
      <c r="E60" s="2" t="s">
        <v>1727</v>
      </c>
      <c r="F60" s="227">
        <v>42979</v>
      </c>
      <c r="G60" s="227">
        <v>43343</v>
      </c>
      <c r="H60" s="208">
        <v>50000</v>
      </c>
      <c r="I60" s="228">
        <v>16665</v>
      </c>
    </row>
    <row r="61" spans="1:9">
      <c r="A61" s="226">
        <v>501334</v>
      </c>
      <c r="B61" s="2" t="s">
        <v>1848</v>
      </c>
      <c r="C61" s="2" t="s">
        <v>515</v>
      </c>
      <c r="D61" s="2" t="s">
        <v>1849</v>
      </c>
      <c r="E61" s="2" t="s">
        <v>53</v>
      </c>
      <c r="F61" s="227">
        <v>42979</v>
      </c>
      <c r="G61" s="227">
        <v>43343</v>
      </c>
      <c r="H61" s="208">
        <v>270256</v>
      </c>
      <c r="I61" s="228">
        <v>90076.324800000002</v>
      </c>
    </row>
    <row r="62" spans="1:9">
      <c r="A62" s="226">
        <v>501334</v>
      </c>
      <c r="B62" s="2" t="s">
        <v>1850</v>
      </c>
      <c r="C62" s="2" t="s">
        <v>515</v>
      </c>
      <c r="D62" s="2" t="s">
        <v>1851</v>
      </c>
      <c r="E62" s="2" t="s">
        <v>53</v>
      </c>
      <c r="F62" s="227">
        <v>42979</v>
      </c>
      <c r="G62" s="227">
        <v>43343</v>
      </c>
      <c r="H62" s="208">
        <v>164125</v>
      </c>
      <c r="I62" s="228">
        <v>54702.862499999996</v>
      </c>
    </row>
    <row r="63" spans="1:9">
      <c r="A63" s="226">
        <v>501334</v>
      </c>
      <c r="B63" s="2" t="s">
        <v>1852</v>
      </c>
      <c r="C63" s="2" t="s">
        <v>515</v>
      </c>
      <c r="D63" s="2" t="s">
        <v>1853</v>
      </c>
      <c r="E63" s="2" t="s">
        <v>53</v>
      </c>
      <c r="F63" s="227">
        <v>42979</v>
      </c>
      <c r="G63" s="227">
        <v>43343</v>
      </c>
      <c r="H63" s="208">
        <v>80000</v>
      </c>
      <c r="I63" s="228">
        <v>26664</v>
      </c>
    </row>
    <row r="64" spans="1:9">
      <c r="A64" s="226">
        <v>501334</v>
      </c>
      <c r="B64" s="2" t="s">
        <v>1854</v>
      </c>
      <c r="C64" s="2" t="s">
        <v>515</v>
      </c>
      <c r="D64" s="2" t="s">
        <v>1855</v>
      </c>
      <c r="E64" s="2" t="s">
        <v>1727</v>
      </c>
      <c r="F64" s="227">
        <v>42979</v>
      </c>
      <c r="G64" s="227">
        <v>43343</v>
      </c>
      <c r="H64" s="208">
        <v>30000</v>
      </c>
      <c r="I64" s="228">
        <v>9999</v>
      </c>
    </row>
    <row r="65" spans="1:9">
      <c r="A65" s="226">
        <v>501334</v>
      </c>
      <c r="B65" s="2" t="s">
        <v>1856</v>
      </c>
      <c r="C65" s="2" t="s">
        <v>515</v>
      </c>
      <c r="D65" s="2" t="s">
        <v>1857</v>
      </c>
      <c r="E65" s="2" t="s">
        <v>53</v>
      </c>
      <c r="F65" s="227">
        <v>42979</v>
      </c>
      <c r="G65" s="227">
        <v>43343</v>
      </c>
      <c r="H65" s="208">
        <v>164125</v>
      </c>
      <c r="I65" s="228">
        <v>54702.862499999996</v>
      </c>
    </row>
    <row r="66" spans="1:9">
      <c r="A66" s="226">
        <v>501334</v>
      </c>
      <c r="B66" s="2" t="s">
        <v>1823</v>
      </c>
      <c r="C66" s="2" t="s">
        <v>515</v>
      </c>
      <c r="D66" s="2" t="s">
        <v>1858</v>
      </c>
      <c r="E66" s="2" t="s">
        <v>1727</v>
      </c>
      <c r="F66" s="227">
        <v>42979</v>
      </c>
      <c r="G66" s="227">
        <v>43343</v>
      </c>
      <c r="H66" s="208">
        <v>56000</v>
      </c>
      <c r="I66" s="228">
        <v>18664.8</v>
      </c>
    </row>
    <row r="67" spans="1:9">
      <c r="A67" s="226">
        <v>501335</v>
      </c>
      <c r="B67" s="2" t="s">
        <v>1859</v>
      </c>
      <c r="C67" s="2" t="s">
        <v>515</v>
      </c>
      <c r="D67" s="2" t="s">
        <v>1860</v>
      </c>
      <c r="E67" s="2" t="s">
        <v>53</v>
      </c>
      <c r="F67" s="227">
        <v>42979</v>
      </c>
      <c r="G67" s="227">
        <v>43343</v>
      </c>
      <c r="H67" s="208">
        <v>20000</v>
      </c>
      <c r="I67" s="228">
        <v>6666</v>
      </c>
    </row>
    <row r="68" spans="1:9">
      <c r="A68" s="226">
        <v>501335</v>
      </c>
      <c r="B68" s="2" t="s">
        <v>1829</v>
      </c>
      <c r="C68" s="2" t="s">
        <v>515</v>
      </c>
      <c r="D68" s="2" t="s">
        <v>1861</v>
      </c>
      <c r="E68" s="2" t="s">
        <v>53</v>
      </c>
      <c r="F68" s="227">
        <v>42979</v>
      </c>
      <c r="G68" s="227">
        <v>43343</v>
      </c>
      <c r="H68" s="208">
        <v>14375</v>
      </c>
      <c r="I68" s="228">
        <v>4791.1875</v>
      </c>
    </row>
    <row r="69" spans="1:9">
      <c r="A69" s="226">
        <v>501335</v>
      </c>
      <c r="B69" s="2" t="s">
        <v>1862</v>
      </c>
      <c r="C69" s="2" t="s">
        <v>515</v>
      </c>
      <c r="D69" s="2" t="s">
        <v>1863</v>
      </c>
      <c r="E69" s="2" t="s">
        <v>1727</v>
      </c>
      <c r="F69" s="227">
        <v>42979</v>
      </c>
      <c r="G69" s="227">
        <v>43343</v>
      </c>
      <c r="H69" s="208">
        <v>20000</v>
      </c>
      <c r="I69" s="228">
        <v>6666</v>
      </c>
    </row>
    <row r="70" spans="1:9">
      <c r="A70" s="226">
        <v>501335</v>
      </c>
      <c r="B70" s="2" t="s">
        <v>1751</v>
      </c>
      <c r="C70" s="2" t="s">
        <v>515</v>
      </c>
      <c r="D70" s="2" t="s">
        <v>1864</v>
      </c>
      <c r="E70" s="2" t="s">
        <v>53</v>
      </c>
      <c r="F70" s="227">
        <v>42979</v>
      </c>
      <c r="G70" s="227">
        <v>43343</v>
      </c>
      <c r="H70" s="208">
        <v>15000</v>
      </c>
      <c r="I70" s="228">
        <v>4999.5</v>
      </c>
    </row>
    <row r="71" spans="1:9">
      <c r="A71" s="226">
        <v>501335</v>
      </c>
      <c r="B71" s="2" t="s">
        <v>1758</v>
      </c>
      <c r="C71" s="2" t="s">
        <v>515</v>
      </c>
      <c r="D71" s="2" t="s">
        <v>1865</v>
      </c>
      <c r="E71" s="2" t="s">
        <v>68</v>
      </c>
      <c r="F71" s="227">
        <v>42979</v>
      </c>
      <c r="G71" s="227">
        <v>43343</v>
      </c>
      <c r="H71" s="208">
        <v>35395</v>
      </c>
      <c r="I71" s="228">
        <v>11797.1535</v>
      </c>
    </row>
    <row r="72" spans="1:9">
      <c r="A72" s="226">
        <v>501336</v>
      </c>
      <c r="B72" s="2" t="s">
        <v>1866</v>
      </c>
      <c r="C72" s="2" t="s">
        <v>515</v>
      </c>
      <c r="D72" s="2" t="s">
        <v>1867</v>
      </c>
      <c r="E72" s="2" t="s">
        <v>68</v>
      </c>
      <c r="F72" s="227">
        <v>42979</v>
      </c>
      <c r="G72" s="227">
        <v>43343</v>
      </c>
      <c r="H72" s="208">
        <v>115000</v>
      </c>
      <c r="I72" s="228">
        <v>38329.5</v>
      </c>
    </row>
    <row r="73" spans="1:9">
      <c r="A73" s="226">
        <v>501336</v>
      </c>
      <c r="B73" s="2" t="s">
        <v>1868</v>
      </c>
      <c r="C73" s="2" t="s">
        <v>515</v>
      </c>
      <c r="D73" s="2" t="s">
        <v>1869</v>
      </c>
      <c r="E73" s="2" t="s">
        <v>1727</v>
      </c>
      <c r="F73" s="227">
        <v>42979</v>
      </c>
      <c r="G73" s="227">
        <v>43343</v>
      </c>
      <c r="H73" s="208">
        <v>190150</v>
      </c>
      <c r="I73" s="228">
        <v>63376.994999999995</v>
      </c>
    </row>
    <row r="74" spans="1:9">
      <c r="A74" s="226">
        <v>501336</v>
      </c>
      <c r="B74" s="2" t="s">
        <v>1779</v>
      </c>
      <c r="C74" s="2" t="s">
        <v>515</v>
      </c>
      <c r="D74" s="2" t="s">
        <v>1870</v>
      </c>
      <c r="E74" s="2" t="s">
        <v>53</v>
      </c>
      <c r="F74" s="227">
        <v>42979</v>
      </c>
      <c r="G74" s="227">
        <v>43343</v>
      </c>
      <c r="H74" s="208">
        <v>211794</v>
      </c>
      <c r="I74" s="228">
        <v>70590.940199999997</v>
      </c>
    </row>
    <row r="75" spans="1:9">
      <c r="A75" s="226">
        <v>501336</v>
      </c>
      <c r="B75" s="2" t="s">
        <v>1871</v>
      </c>
      <c r="C75" s="2" t="s">
        <v>515</v>
      </c>
      <c r="D75" s="2" t="s">
        <v>1872</v>
      </c>
      <c r="E75" s="2" t="s">
        <v>53</v>
      </c>
      <c r="F75" s="227">
        <v>42979</v>
      </c>
      <c r="G75" s="227">
        <v>43343</v>
      </c>
      <c r="H75" s="208">
        <v>211850</v>
      </c>
      <c r="I75" s="228">
        <v>70609.604999999996</v>
      </c>
    </row>
    <row r="76" spans="1:9">
      <c r="A76" s="226">
        <v>501336</v>
      </c>
      <c r="B76" s="2" t="s">
        <v>1873</v>
      </c>
      <c r="C76" s="2" t="s">
        <v>515</v>
      </c>
      <c r="D76" s="2" t="s">
        <v>1874</v>
      </c>
      <c r="E76" s="2" t="s">
        <v>1727</v>
      </c>
      <c r="F76" s="227">
        <v>42979</v>
      </c>
      <c r="G76" s="227">
        <v>43343</v>
      </c>
      <c r="H76" s="208">
        <v>85000</v>
      </c>
      <c r="I76" s="228">
        <v>28330.5</v>
      </c>
    </row>
    <row r="77" spans="1:9">
      <c r="A77" s="226">
        <v>501337</v>
      </c>
      <c r="B77" s="2" t="s">
        <v>1848</v>
      </c>
      <c r="C77" s="2" t="s">
        <v>515</v>
      </c>
      <c r="D77" s="2" t="s">
        <v>1875</v>
      </c>
      <c r="E77" s="2" t="s">
        <v>53</v>
      </c>
      <c r="F77" s="227">
        <v>42979</v>
      </c>
      <c r="G77" s="227">
        <v>43343</v>
      </c>
      <c r="H77" s="208">
        <v>20000</v>
      </c>
      <c r="I77" s="228">
        <v>6666</v>
      </c>
    </row>
    <row r="78" spans="1:9">
      <c r="A78" s="226">
        <v>501337</v>
      </c>
      <c r="B78" s="2" t="s">
        <v>1854</v>
      </c>
      <c r="C78" s="2" t="s">
        <v>515</v>
      </c>
      <c r="D78" s="2" t="s">
        <v>1876</v>
      </c>
      <c r="E78" s="2" t="s">
        <v>1727</v>
      </c>
      <c r="F78" s="227">
        <v>42979</v>
      </c>
      <c r="G78" s="227">
        <v>43343</v>
      </c>
      <c r="H78" s="208">
        <v>68926</v>
      </c>
      <c r="I78" s="228">
        <v>22973.035799999998</v>
      </c>
    </row>
    <row r="79" spans="1:9">
      <c r="A79" s="226">
        <v>501337</v>
      </c>
      <c r="B79" s="2" t="s">
        <v>1877</v>
      </c>
      <c r="C79" s="2" t="s">
        <v>515</v>
      </c>
      <c r="D79" s="2" t="s">
        <v>1878</v>
      </c>
      <c r="E79" s="2" t="s">
        <v>1727</v>
      </c>
      <c r="F79" s="227">
        <v>42979</v>
      </c>
      <c r="G79" s="227">
        <v>43343</v>
      </c>
      <c r="H79" s="208">
        <v>55000</v>
      </c>
      <c r="I79" s="228">
        <v>18331.5</v>
      </c>
    </row>
    <row r="80" spans="1:9">
      <c r="A80" s="226">
        <v>501338</v>
      </c>
      <c r="B80" s="2" t="s">
        <v>1879</v>
      </c>
      <c r="C80" s="2" t="s">
        <v>515</v>
      </c>
      <c r="D80" s="2" t="s">
        <v>1880</v>
      </c>
      <c r="E80" s="2" t="s">
        <v>53</v>
      </c>
      <c r="F80" s="227">
        <v>42979</v>
      </c>
      <c r="G80" s="227">
        <v>43343</v>
      </c>
      <c r="H80" s="208">
        <v>81492</v>
      </c>
      <c r="I80" s="228">
        <v>27161.283599999999</v>
      </c>
    </row>
    <row r="81" spans="1:9">
      <c r="A81" s="226">
        <v>501338</v>
      </c>
      <c r="B81" s="2" t="s">
        <v>1881</v>
      </c>
      <c r="C81" s="2" t="s">
        <v>515</v>
      </c>
      <c r="D81" s="2" t="s">
        <v>1882</v>
      </c>
      <c r="E81" s="2" t="s">
        <v>53</v>
      </c>
      <c r="F81" s="227">
        <v>42979</v>
      </c>
      <c r="G81" s="227">
        <v>43343</v>
      </c>
      <c r="H81" s="208">
        <v>197000</v>
      </c>
      <c r="I81" s="228">
        <v>65660.099999999991</v>
      </c>
    </row>
    <row r="82" spans="1:9">
      <c r="A82" s="226">
        <v>501338</v>
      </c>
      <c r="B82" s="2" t="s">
        <v>1883</v>
      </c>
      <c r="C82" s="2" t="s">
        <v>515</v>
      </c>
      <c r="D82" s="2" t="s">
        <v>1884</v>
      </c>
      <c r="E82" s="2" t="s">
        <v>53</v>
      </c>
      <c r="F82" s="227">
        <v>42979</v>
      </c>
      <c r="G82" s="227">
        <v>43343</v>
      </c>
      <c r="H82" s="208">
        <v>130864</v>
      </c>
      <c r="I82" s="228">
        <v>43616.9712</v>
      </c>
    </row>
    <row r="83" spans="1:9">
      <c r="A83" s="226">
        <v>501339</v>
      </c>
      <c r="B83" s="2" t="s">
        <v>1885</v>
      </c>
      <c r="C83" s="2" t="s">
        <v>515</v>
      </c>
      <c r="D83" s="2" t="s">
        <v>1886</v>
      </c>
      <c r="E83" s="2" t="s">
        <v>68</v>
      </c>
      <c r="F83" s="227">
        <v>42979</v>
      </c>
      <c r="G83" s="227">
        <v>43343</v>
      </c>
      <c r="H83" s="208">
        <v>105400</v>
      </c>
      <c r="I83" s="228">
        <v>35129.82</v>
      </c>
    </row>
    <row r="84" spans="1:9">
      <c r="A84" s="226">
        <v>501339</v>
      </c>
      <c r="B84" s="2" t="s">
        <v>1887</v>
      </c>
      <c r="C84" s="2" t="s">
        <v>515</v>
      </c>
      <c r="D84" s="2" t="s">
        <v>1888</v>
      </c>
      <c r="E84" s="2" t="s">
        <v>1727</v>
      </c>
      <c r="F84" s="227">
        <v>42979</v>
      </c>
      <c r="G84" s="227">
        <v>43343</v>
      </c>
      <c r="H84" s="208">
        <v>97000</v>
      </c>
      <c r="I84" s="228">
        <v>32330.1</v>
      </c>
    </row>
    <row r="85" spans="1:9">
      <c r="A85" s="226">
        <v>501339</v>
      </c>
      <c r="B85" s="2" t="s">
        <v>1889</v>
      </c>
      <c r="C85" s="2" t="s">
        <v>515</v>
      </c>
      <c r="D85" s="2" t="s">
        <v>1890</v>
      </c>
      <c r="E85" s="2" t="s">
        <v>1727</v>
      </c>
      <c r="F85" s="227">
        <v>42979</v>
      </c>
      <c r="G85" s="227">
        <v>43343</v>
      </c>
      <c r="H85" s="208">
        <v>101160</v>
      </c>
      <c r="I85" s="228">
        <v>33716.627999999997</v>
      </c>
    </row>
    <row r="86" spans="1:9">
      <c r="A86" s="226">
        <v>501339</v>
      </c>
      <c r="B86" s="2" t="s">
        <v>1877</v>
      </c>
      <c r="C86" s="2" t="s">
        <v>515</v>
      </c>
      <c r="D86" s="2" t="s">
        <v>1891</v>
      </c>
      <c r="E86" s="2" t="s">
        <v>1727</v>
      </c>
      <c r="F86" s="227">
        <v>42979</v>
      </c>
      <c r="G86" s="227">
        <v>43343</v>
      </c>
      <c r="H86" s="208">
        <v>91000</v>
      </c>
      <c r="I86" s="228">
        <v>30330.3</v>
      </c>
    </row>
    <row r="87" spans="1:9">
      <c r="A87" s="226">
        <v>501339</v>
      </c>
      <c r="B87" s="2" t="s">
        <v>1892</v>
      </c>
      <c r="C87" s="2" t="s">
        <v>515</v>
      </c>
      <c r="D87" s="2" t="s">
        <v>1893</v>
      </c>
      <c r="E87" s="2" t="s">
        <v>68</v>
      </c>
      <c r="F87" s="227">
        <v>42979</v>
      </c>
      <c r="G87" s="227">
        <v>43343</v>
      </c>
      <c r="H87" s="208">
        <v>125977</v>
      </c>
      <c r="I87" s="228">
        <v>41988.134099999996</v>
      </c>
    </row>
    <row r="88" spans="1:9">
      <c r="A88" s="226">
        <v>501339</v>
      </c>
      <c r="B88" s="2" t="s">
        <v>1894</v>
      </c>
      <c r="C88" s="2" t="s">
        <v>515</v>
      </c>
      <c r="D88" s="2" t="s">
        <v>1895</v>
      </c>
      <c r="E88" s="2" t="s">
        <v>1727</v>
      </c>
      <c r="F88" s="227">
        <v>42979</v>
      </c>
      <c r="G88" s="227">
        <v>43343</v>
      </c>
      <c r="H88" s="208">
        <v>106000</v>
      </c>
      <c r="I88" s="228">
        <v>35329.799999999996</v>
      </c>
    </row>
    <row r="89" spans="1:9">
      <c r="A89" s="226">
        <v>501340</v>
      </c>
      <c r="B89" s="2" t="s">
        <v>1896</v>
      </c>
      <c r="C89" s="2" t="s">
        <v>515</v>
      </c>
      <c r="D89" s="2" t="s">
        <v>1897</v>
      </c>
      <c r="E89" s="2" t="s">
        <v>1727</v>
      </c>
      <c r="F89" s="227">
        <v>42979</v>
      </c>
      <c r="G89" s="227">
        <v>43343</v>
      </c>
      <c r="H89" s="208">
        <v>100000</v>
      </c>
      <c r="I89" s="228">
        <v>33330</v>
      </c>
    </row>
    <row r="90" spans="1:9">
      <c r="A90" s="226">
        <v>501340</v>
      </c>
      <c r="B90" s="2" t="s">
        <v>1898</v>
      </c>
      <c r="C90" s="2" t="s">
        <v>515</v>
      </c>
      <c r="D90" s="2" t="s">
        <v>1899</v>
      </c>
      <c r="E90" s="2" t="s">
        <v>1727</v>
      </c>
      <c r="F90" s="227">
        <v>42979</v>
      </c>
      <c r="G90" s="227">
        <v>43343</v>
      </c>
      <c r="H90" s="208">
        <v>100000</v>
      </c>
      <c r="I90" s="228">
        <v>33330</v>
      </c>
    </row>
    <row r="91" spans="1:9">
      <c r="A91" s="226">
        <v>501340</v>
      </c>
      <c r="B91" s="2" t="s">
        <v>1900</v>
      </c>
      <c r="C91" s="2" t="s">
        <v>515</v>
      </c>
      <c r="D91" s="2" t="s">
        <v>1901</v>
      </c>
      <c r="E91" s="2" t="s">
        <v>1727</v>
      </c>
      <c r="F91" s="227">
        <v>42979</v>
      </c>
      <c r="G91" s="227">
        <v>43343</v>
      </c>
      <c r="H91" s="208">
        <v>75000</v>
      </c>
      <c r="I91" s="228">
        <v>24997.5</v>
      </c>
    </row>
    <row r="92" spans="1:9">
      <c r="A92" s="226">
        <v>501340</v>
      </c>
      <c r="B92" s="2" t="s">
        <v>1779</v>
      </c>
      <c r="C92" s="2" t="s">
        <v>515</v>
      </c>
      <c r="D92" s="2" t="s">
        <v>1902</v>
      </c>
      <c r="E92" s="2" t="s">
        <v>53</v>
      </c>
      <c r="F92" s="227">
        <v>42979</v>
      </c>
      <c r="G92" s="227">
        <v>43343</v>
      </c>
      <c r="H92" s="208">
        <v>116000</v>
      </c>
      <c r="I92" s="228">
        <v>38662.799999999996</v>
      </c>
    </row>
    <row r="93" spans="1:9">
      <c r="A93" s="226">
        <v>501340</v>
      </c>
      <c r="B93" s="2" t="s">
        <v>1903</v>
      </c>
      <c r="C93" s="2" t="s">
        <v>515</v>
      </c>
      <c r="D93" s="2" t="s">
        <v>1904</v>
      </c>
      <c r="E93" s="2" t="s">
        <v>1727</v>
      </c>
      <c r="F93" s="227">
        <v>42979</v>
      </c>
      <c r="G93" s="227">
        <v>43343</v>
      </c>
      <c r="H93" s="208">
        <v>137300</v>
      </c>
      <c r="I93" s="228">
        <v>45762.09</v>
      </c>
    </row>
    <row r="94" spans="1:9">
      <c r="A94" s="226">
        <v>501341</v>
      </c>
      <c r="B94" s="2" t="s">
        <v>1837</v>
      </c>
      <c r="C94" s="2" t="s">
        <v>515</v>
      </c>
      <c r="D94" s="2" t="s">
        <v>1905</v>
      </c>
      <c r="E94" s="2" t="s">
        <v>1727</v>
      </c>
      <c r="F94" s="227">
        <v>42979</v>
      </c>
      <c r="G94" s="227">
        <v>43343</v>
      </c>
      <c r="H94" s="208">
        <v>147276</v>
      </c>
      <c r="I94" s="228">
        <v>49087.090799999998</v>
      </c>
    </row>
    <row r="95" spans="1:9">
      <c r="A95" s="226">
        <v>501341</v>
      </c>
      <c r="B95" s="2" t="s">
        <v>1781</v>
      </c>
      <c r="C95" s="2" t="s">
        <v>515</v>
      </c>
      <c r="D95" s="2" t="s">
        <v>1906</v>
      </c>
      <c r="E95" s="2" t="s">
        <v>1907</v>
      </c>
      <c r="F95" s="227">
        <v>42979</v>
      </c>
      <c r="G95" s="227">
        <v>43343</v>
      </c>
      <c r="H95" s="208">
        <v>18000</v>
      </c>
      <c r="I95" s="228">
        <v>5999.4</v>
      </c>
    </row>
    <row r="96" spans="1:9">
      <c r="A96" s="226">
        <v>501341</v>
      </c>
      <c r="B96" s="2" t="s">
        <v>1873</v>
      </c>
      <c r="C96" s="2" t="s">
        <v>515</v>
      </c>
      <c r="D96" s="2" t="s">
        <v>1908</v>
      </c>
      <c r="E96" s="2" t="s">
        <v>1727</v>
      </c>
      <c r="F96" s="227">
        <v>42979</v>
      </c>
      <c r="G96" s="227">
        <v>43343</v>
      </c>
      <c r="H96" s="208">
        <v>113457</v>
      </c>
      <c r="I96" s="228">
        <v>37815.218099999998</v>
      </c>
    </row>
    <row r="97" spans="1:9">
      <c r="A97" s="226">
        <v>501342</v>
      </c>
      <c r="B97" s="2" t="s">
        <v>1781</v>
      </c>
      <c r="C97" s="2" t="s">
        <v>515</v>
      </c>
      <c r="D97" s="2" t="s">
        <v>1909</v>
      </c>
      <c r="E97" s="2" t="s">
        <v>1907</v>
      </c>
      <c r="F97" s="227">
        <v>42979</v>
      </c>
      <c r="G97" s="227">
        <v>43343</v>
      </c>
      <c r="H97" s="208">
        <v>180000</v>
      </c>
      <c r="I97" s="228">
        <v>59994</v>
      </c>
    </row>
    <row r="98" spans="1:9">
      <c r="A98" s="226">
        <v>501342</v>
      </c>
      <c r="B98" s="2" t="s">
        <v>1910</v>
      </c>
      <c r="C98" s="2" t="s">
        <v>515</v>
      </c>
      <c r="D98" s="2" t="s">
        <v>1911</v>
      </c>
      <c r="E98" s="2" t="s">
        <v>68</v>
      </c>
      <c r="F98" s="227">
        <v>42979</v>
      </c>
      <c r="G98" s="227">
        <v>43343</v>
      </c>
      <c r="H98" s="208">
        <v>108951</v>
      </c>
      <c r="I98" s="228">
        <v>36313.368300000002</v>
      </c>
    </row>
    <row r="99" spans="1:9">
      <c r="A99" s="226">
        <v>501342</v>
      </c>
      <c r="B99" s="2" t="s">
        <v>1912</v>
      </c>
      <c r="C99" s="2" t="s">
        <v>515</v>
      </c>
      <c r="D99" s="2" t="s">
        <v>1913</v>
      </c>
      <c r="E99" s="2" t="s">
        <v>53</v>
      </c>
      <c r="F99" s="227">
        <v>42979</v>
      </c>
      <c r="G99" s="227">
        <v>43343</v>
      </c>
      <c r="H99" s="208">
        <v>72509</v>
      </c>
      <c r="I99" s="228">
        <v>24167.2497</v>
      </c>
    </row>
    <row r="100" spans="1:9">
      <c r="A100" s="226">
        <v>501343</v>
      </c>
      <c r="B100" s="2" t="s">
        <v>1429</v>
      </c>
      <c r="C100" s="2" t="s">
        <v>515</v>
      </c>
      <c r="D100" s="2" t="s">
        <v>1914</v>
      </c>
      <c r="E100" s="2" t="s">
        <v>53</v>
      </c>
      <c r="F100" s="227">
        <v>42979</v>
      </c>
      <c r="G100" s="227">
        <v>43343</v>
      </c>
      <c r="H100" s="208">
        <v>61750</v>
      </c>
      <c r="I100" s="228">
        <v>20581.274999999998</v>
      </c>
    </row>
    <row r="101" spans="1:9">
      <c r="A101" s="226">
        <v>501343</v>
      </c>
      <c r="B101" s="2">
        <v>211134</v>
      </c>
      <c r="C101" s="2" t="s">
        <v>515</v>
      </c>
      <c r="D101" s="2" t="s">
        <v>1915</v>
      </c>
      <c r="E101" s="2" t="s">
        <v>1727</v>
      </c>
      <c r="F101" s="227">
        <v>42979</v>
      </c>
      <c r="G101" s="227">
        <v>43343</v>
      </c>
      <c r="H101" s="208">
        <v>13000</v>
      </c>
      <c r="I101" s="228">
        <v>4332.8999999999996</v>
      </c>
    </row>
    <row r="102" spans="1:9">
      <c r="A102" s="226">
        <v>501343</v>
      </c>
      <c r="B102" s="2" t="s">
        <v>1916</v>
      </c>
      <c r="C102" s="2" t="s">
        <v>515</v>
      </c>
      <c r="D102" s="2" t="s">
        <v>1917</v>
      </c>
      <c r="E102" s="2" t="s">
        <v>53</v>
      </c>
      <c r="F102" s="227">
        <v>42979</v>
      </c>
      <c r="G102" s="227">
        <v>43343</v>
      </c>
      <c r="H102" s="208">
        <v>61725</v>
      </c>
      <c r="I102" s="228">
        <v>20572.942499999997</v>
      </c>
    </row>
    <row r="103" spans="1:9">
      <c r="A103" s="226">
        <v>501344</v>
      </c>
      <c r="B103" s="2">
        <v>207233</v>
      </c>
      <c r="C103" s="2" t="s">
        <v>515</v>
      </c>
      <c r="D103" s="2" t="s">
        <v>1918</v>
      </c>
      <c r="E103" s="2" t="s">
        <v>1727</v>
      </c>
      <c r="F103" s="227">
        <v>42979</v>
      </c>
      <c r="G103" s="227">
        <v>43343</v>
      </c>
      <c r="H103" s="208">
        <v>112500</v>
      </c>
      <c r="I103" s="228">
        <v>37496.25</v>
      </c>
    </row>
    <row r="104" spans="1:9">
      <c r="A104" s="226">
        <v>501344</v>
      </c>
      <c r="B104" s="2" t="s">
        <v>1919</v>
      </c>
      <c r="C104" s="2" t="s">
        <v>515</v>
      </c>
      <c r="D104" s="2" t="s">
        <v>1920</v>
      </c>
      <c r="E104" s="2" t="s">
        <v>68</v>
      </c>
      <c r="F104" s="227">
        <v>42979</v>
      </c>
      <c r="G104" s="227">
        <v>43343</v>
      </c>
      <c r="H104" s="208">
        <v>75000</v>
      </c>
      <c r="I104" s="228">
        <v>24997.5</v>
      </c>
    </row>
    <row r="105" spans="1:9">
      <c r="A105" s="226">
        <v>501344</v>
      </c>
      <c r="B105" s="2" t="s">
        <v>1921</v>
      </c>
      <c r="C105" s="2" t="s">
        <v>515</v>
      </c>
      <c r="D105" s="2" t="s">
        <v>1922</v>
      </c>
      <c r="E105" s="2" t="s">
        <v>1727</v>
      </c>
      <c r="F105" s="227">
        <v>42979</v>
      </c>
      <c r="G105" s="227">
        <v>43343</v>
      </c>
      <c r="H105" s="208">
        <v>75000</v>
      </c>
      <c r="I105" s="228">
        <v>24997.5</v>
      </c>
    </row>
    <row r="106" spans="1:9">
      <c r="A106" s="226">
        <v>501344</v>
      </c>
      <c r="B106" s="2" t="s">
        <v>1923</v>
      </c>
      <c r="C106" s="2" t="s">
        <v>515</v>
      </c>
      <c r="D106" s="2" t="s">
        <v>1924</v>
      </c>
      <c r="E106" s="2" t="s">
        <v>1727</v>
      </c>
      <c r="F106" s="227">
        <v>42979</v>
      </c>
      <c r="G106" s="227">
        <v>43343</v>
      </c>
      <c r="H106" s="208">
        <v>75000</v>
      </c>
      <c r="I106" s="228">
        <v>24997.5</v>
      </c>
    </row>
    <row r="107" spans="1:9">
      <c r="A107" s="226">
        <v>501344</v>
      </c>
      <c r="B107" s="2" t="s">
        <v>1925</v>
      </c>
      <c r="C107" s="2" t="s">
        <v>515</v>
      </c>
      <c r="D107" s="2" t="s">
        <v>1926</v>
      </c>
      <c r="E107" s="2" t="s">
        <v>53</v>
      </c>
      <c r="F107" s="227">
        <v>42979</v>
      </c>
      <c r="G107" s="227">
        <v>43343</v>
      </c>
      <c r="H107" s="208">
        <v>143500</v>
      </c>
      <c r="I107" s="228">
        <v>47828.549999999996</v>
      </c>
    </row>
    <row r="108" spans="1:9">
      <c r="A108" s="226">
        <v>501344</v>
      </c>
      <c r="B108" s="2" t="s">
        <v>1927</v>
      </c>
      <c r="C108" s="2" t="s">
        <v>515</v>
      </c>
      <c r="D108" s="2" t="s">
        <v>1928</v>
      </c>
      <c r="E108" s="2" t="s">
        <v>1727</v>
      </c>
      <c r="F108" s="227">
        <v>42979</v>
      </c>
      <c r="G108" s="227">
        <v>43343</v>
      </c>
      <c r="H108" s="208">
        <v>260000</v>
      </c>
      <c r="I108" s="228">
        <v>86658</v>
      </c>
    </row>
    <row r="109" spans="1:9">
      <c r="A109" s="226">
        <v>501345</v>
      </c>
      <c r="B109" s="2" t="s">
        <v>1825</v>
      </c>
      <c r="C109" s="2" t="s">
        <v>515</v>
      </c>
      <c r="D109" s="2" t="s">
        <v>1929</v>
      </c>
      <c r="E109" s="2" t="s">
        <v>1727</v>
      </c>
      <c r="F109" s="227">
        <v>42979</v>
      </c>
      <c r="G109" s="227">
        <v>43343</v>
      </c>
      <c r="H109" s="208">
        <v>35000</v>
      </c>
      <c r="I109" s="228">
        <v>11665.5</v>
      </c>
    </row>
    <row r="110" spans="1:9">
      <c r="A110" s="226">
        <v>501345</v>
      </c>
      <c r="B110" s="2" t="s">
        <v>1930</v>
      </c>
      <c r="C110" s="2" t="s">
        <v>515</v>
      </c>
      <c r="D110" s="2" t="s">
        <v>1931</v>
      </c>
      <c r="E110" s="2" t="s">
        <v>53</v>
      </c>
      <c r="F110" s="227">
        <v>42979</v>
      </c>
      <c r="G110" s="227">
        <v>43343</v>
      </c>
      <c r="H110" s="208">
        <v>41350</v>
      </c>
      <c r="I110" s="228">
        <v>13781.955</v>
      </c>
    </row>
    <row r="111" spans="1:9">
      <c r="A111" s="226">
        <v>501345</v>
      </c>
      <c r="B111" s="2" t="s">
        <v>1854</v>
      </c>
      <c r="C111" s="2" t="s">
        <v>515</v>
      </c>
      <c r="D111" s="2" t="s">
        <v>1932</v>
      </c>
      <c r="E111" s="2" t="s">
        <v>1727</v>
      </c>
      <c r="F111" s="227">
        <v>42979</v>
      </c>
      <c r="G111" s="227">
        <v>43343</v>
      </c>
      <c r="H111" s="208">
        <v>91472</v>
      </c>
      <c r="I111" s="228">
        <v>30487.617599999998</v>
      </c>
    </row>
    <row r="112" spans="1:9">
      <c r="A112" s="226">
        <v>501345</v>
      </c>
      <c r="B112" s="2" t="s">
        <v>1933</v>
      </c>
      <c r="C112" s="2" t="s">
        <v>515</v>
      </c>
      <c r="D112" s="2" t="s">
        <v>1934</v>
      </c>
      <c r="E112" s="2" t="s">
        <v>1727</v>
      </c>
      <c r="F112" s="227">
        <v>42979</v>
      </c>
      <c r="G112" s="227">
        <v>43343</v>
      </c>
      <c r="H112" s="208">
        <v>43000</v>
      </c>
      <c r="I112" s="228">
        <v>14331.9</v>
      </c>
    </row>
    <row r="113" spans="1:9">
      <c r="A113" s="226">
        <v>501345</v>
      </c>
      <c r="B113" s="2" t="s">
        <v>1873</v>
      </c>
      <c r="C113" s="2" t="s">
        <v>515</v>
      </c>
      <c r="D113" s="2" t="s">
        <v>1935</v>
      </c>
      <c r="E113" s="2" t="s">
        <v>1727</v>
      </c>
      <c r="F113" s="227">
        <v>42979</v>
      </c>
      <c r="G113" s="227">
        <v>43343</v>
      </c>
      <c r="H113" s="208">
        <v>123709</v>
      </c>
      <c r="I113" s="228">
        <v>41232.209699999999</v>
      </c>
    </row>
    <row r="114" spans="1:9">
      <c r="A114" s="226">
        <v>501345</v>
      </c>
      <c r="B114" s="2" t="s">
        <v>1756</v>
      </c>
      <c r="C114" s="2" t="s">
        <v>515</v>
      </c>
      <c r="D114" s="2" t="s">
        <v>1936</v>
      </c>
      <c r="E114" s="2" t="s">
        <v>1727</v>
      </c>
      <c r="F114" s="227">
        <v>42979</v>
      </c>
      <c r="G114" s="227">
        <v>43343</v>
      </c>
      <c r="H114" s="208">
        <v>143178</v>
      </c>
      <c r="I114" s="228">
        <v>47721.227399999996</v>
      </c>
    </row>
    <row r="115" spans="1:9">
      <c r="A115" s="226">
        <v>501345</v>
      </c>
      <c r="B115" s="2" t="s">
        <v>1788</v>
      </c>
      <c r="C115" s="2" t="s">
        <v>515</v>
      </c>
      <c r="D115" s="2" t="s">
        <v>1937</v>
      </c>
      <c r="E115" s="2" t="s">
        <v>53</v>
      </c>
      <c r="F115" s="227">
        <v>42979</v>
      </c>
      <c r="G115" s="227">
        <v>43343</v>
      </c>
      <c r="H115" s="208">
        <v>176852</v>
      </c>
      <c r="I115" s="228">
        <v>58944.7716</v>
      </c>
    </row>
    <row r="116" spans="1:9">
      <c r="A116" s="226">
        <v>501346</v>
      </c>
      <c r="B116" s="2" t="s">
        <v>1938</v>
      </c>
      <c r="C116" s="2" t="s">
        <v>515</v>
      </c>
      <c r="D116" s="2" t="s">
        <v>1939</v>
      </c>
      <c r="E116" s="2" t="s">
        <v>1727</v>
      </c>
      <c r="F116" s="227">
        <v>42979</v>
      </c>
      <c r="G116" s="227">
        <v>43343</v>
      </c>
      <c r="H116" s="208">
        <v>46000</v>
      </c>
      <c r="I116" s="228">
        <v>15331.8</v>
      </c>
    </row>
    <row r="117" spans="1:9">
      <c r="A117" s="226">
        <v>501346</v>
      </c>
      <c r="B117" s="2" t="s">
        <v>1940</v>
      </c>
      <c r="C117" s="2" t="s">
        <v>515</v>
      </c>
      <c r="D117" s="2" t="s">
        <v>1941</v>
      </c>
      <c r="E117" s="2" t="s">
        <v>1907</v>
      </c>
      <c r="F117" s="227">
        <v>42979</v>
      </c>
      <c r="G117" s="227">
        <v>43343</v>
      </c>
      <c r="H117" s="208">
        <v>69500</v>
      </c>
      <c r="I117" s="228">
        <v>23164.35</v>
      </c>
    </row>
    <row r="118" spans="1:9">
      <c r="A118" s="226">
        <v>501346</v>
      </c>
      <c r="B118" s="2" t="s">
        <v>1942</v>
      </c>
      <c r="C118" s="2" t="s">
        <v>515</v>
      </c>
      <c r="D118" s="2" t="s">
        <v>1943</v>
      </c>
      <c r="E118" s="2" t="s">
        <v>1907</v>
      </c>
      <c r="F118" s="227">
        <v>42979</v>
      </c>
      <c r="G118" s="227">
        <v>43343</v>
      </c>
      <c r="H118" s="208">
        <v>70000</v>
      </c>
      <c r="I118" s="228">
        <v>23331</v>
      </c>
    </row>
    <row r="119" spans="1:9">
      <c r="A119" s="226">
        <v>501346</v>
      </c>
      <c r="B119" s="2" t="s">
        <v>1944</v>
      </c>
      <c r="C119" s="2" t="s">
        <v>515</v>
      </c>
      <c r="D119" s="2" t="s">
        <v>1945</v>
      </c>
      <c r="E119" s="2" t="s">
        <v>1727</v>
      </c>
      <c r="F119" s="227">
        <v>42979</v>
      </c>
      <c r="G119" s="227">
        <v>43343</v>
      </c>
      <c r="H119" s="208">
        <v>44000</v>
      </c>
      <c r="I119" s="228">
        <v>14665.199999999999</v>
      </c>
    </row>
    <row r="120" spans="1:9">
      <c r="A120" s="226">
        <v>501346</v>
      </c>
      <c r="B120" s="2" t="s">
        <v>1946</v>
      </c>
      <c r="C120" s="2" t="s">
        <v>515</v>
      </c>
      <c r="D120" s="2" t="s">
        <v>1947</v>
      </c>
      <c r="E120" s="2" t="s">
        <v>1727</v>
      </c>
      <c r="F120" s="227">
        <v>42979</v>
      </c>
      <c r="G120" s="227">
        <v>43343</v>
      </c>
      <c r="H120" s="208">
        <v>200000</v>
      </c>
      <c r="I120" s="228">
        <v>66660</v>
      </c>
    </row>
    <row r="121" spans="1:9">
      <c r="A121" s="226">
        <v>501346</v>
      </c>
      <c r="B121" s="2" t="s">
        <v>1948</v>
      </c>
      <c r="C121" s="2" t="s">
        <v>515</v>
      </c>
      <c r="D121" s="2" t="s">
        <v>1949</v>
      </c>
      <c r="E121" s="2" t="s">
        <v>1727</v>
      </c>
      <c r="F121" s="227">
        <v>42979</v>
      </c>
      <c r="G121" s="227">
        <v>43343</v>
      </c>
      <c r="H121" s="208">
        <v>30000</v>
      </c>
      <c r="I121" s="228">
        <v>9999</v>
      </c>
    </row>
    <row r="122" spans="1:9">
      <c r="A122" s="226">
        <v>501347</v>
      </c>
      <c r="B122" s="2" t="s">
        <v>1950</v>
      </c>
      <c r="C122" s="2" t="s">
        <v>515</v>
      </c>
      <c r="D122" s="2" t="s">
        <v>1951</v>
      </c>
      <c r="E122" s="2" t="s">
        <v>1727</v>
      </c>
      <c r="F122" s="227">
        <v>42979</v>
      </c>
      <c r="G122" s="227">
        <v>43343</v>
      </c>
      <c r="H122" s="208">
        <v>91511</v>
      </c>
      <c r="I122" s="228">
        <v>30500.616299999998</v>
      </c>
    </row>
    <row r="123" spans="1:9">
      <c r="A123" s="226">
        <v>501347</v>
      </c>
      <c r="B123" s="2" t="s">
        <v>1952</v>
      </c>
      <c r="C123" s="2" t="s">
        <v>515</v>
      </c>
      <c r="D123" s="2" t="s">
        <v>1953</v>
      </c>
      <c r="E123" s="2" t="s">
        <v>1727</v>
      </c>
      <c r="F123" s="227">
        <v>42979</v>
      </c>
      <c r="G123" s="227">
        <v>43343</v>
      </c>
      <c r="H123" s="208">
        <v>25750</v>
      </c>
      <c r="I123" s="228">
        <v>8582.4750000000004</v>
      </c>
    </row>
    <row r="124" spans="1:9">
      <c r="A124" s="226">
        <v>501347</v>
      </c>
      <c r="B124" s="2" t="s">
        <v>1954</v>
      </c>
      <c r="C124" s="2" t="s">
        <v>515</v>
      </c>
      <c r="D124" s="2" t="s">
        <v>1955</v>
      </c>
      <c r="E124" s="2" t="s">
        <v>1727</v>
      </c>
      <c r="F124" s="227">
        <v>42979</v>
      </c>
      <c r="G124" s="227">
        <v>43343</v>
      </c>
      <c r="H124" s="208">
        <v>43000</v>
      </c>
      <c r="I124" s="228">
        <v>14331.9</v>
      </c>
    </row>
    <row r="125" spans="1:9">
      <c r="A125" s="226">
        <v>501347</v>
      </c>
      <c r="B125" s="2" t="s">
        <v>1912</v>
      </c>
      <c r="C125" s="2" t="s">
        <v>515</v>
      </c>
      <c r="D125" s="2" t="s">
        <v>1956</v>
      </c>
      <c r="E125" s="2" t="s">
        <v>53</v>
      </c>
      <c r="F125" s="227">
        <v>42979</v>
      </c>
      <c r="G125" s="227">
        <v>43343</v>
      </c>
      <c r="H125" s="208">
        <v>80190</v>
      </c>
      <c r="I125" s="228">
        <v>26727.326999999997</v>
      </c>
    </row>
    <row r="126" spans="1:9">
      <c r="A126" s="226">
        <v>501348</v>
      </c>
      <c r="B126" s="2" t="s">
        <v>1957</v>
      </c>
      <c r="C126" s="2" t="s">
        <v>515</v>
      </c>
      <c r="D126" s="2" t="s">
        <v>1958</v>
      </c>
      <c r="E126" s="2" t="s">
        <v>1727</v>
      </c>
      <c r="F126" s="227">
        <v>42979</v>
      </c>
      <c r="G126" s="227">
        <v>43343</v>
      </c>
      <c r="H126" s="208">
        <v>57000</v>
      </c>
      <c r="I126" s="228">
        <v>18998.099999999999</v>
      </c>
    </row>
    <row r="127" spans="1:9">
      <c r="A127" s="226">
        <v>501348</v>
      </c>
      <c r="B127" s="2" t="s">
        <v>1959</v>
      </c>
      <c r="C127" s="2" t="s">
        <v>515</v>
      </c>
      <c r="D127" s="2" t="s">
        <v>1960</v>
      </c>
      <c r="E127" s="2" t="s">
        <v>1907</v>
      </c>
      <c r="F127" s="227">
        <v>42979</v>
      </c>
      <c r="G127" s="227">
        <v>43343</v>
      </c>
      <c r="H127" s="208">
        <v>116500</v>
      </c>
      <c r="I127" s="228">
        <v>38829.449999999997</v>
      </c>
    </row>
    <row r="128" spans="1:9">
      <c r="A128" s="226">
        <v>501348</v>
      </c>
      <c r="B128" s="2" t="s">
        <v>1961</v>
      </c>
      <c r="C128" s="2" t="s">
        <v>515</v>
      </c>
      <c r="D128" s="2" t="s">
        <v>1962</v>
      </c>
      <c r="E128" s="2" t="s">
        <v>68</v>
      </c>
      <c r="F128" s="227">
        <v>42979</v>
      </c>
      <c r="G128" s="227">
        <v>43343</v>
      </c>
      <c r="H128" s="208">
        <v>25000</v>
      </c>
      <c r="I128" s="228">
        <v>8332.5</v>
      </c>
    </row>
    <row r="129" spans="1:9">
      <c r="A129" s="226">
        <v>501348</v>
      </c>
      <c r="B129" s="2" t="s">
        <v>1963</v>
      </c>
      <c r="C129" s="2" t="s">
        <v>515</v>
      </c>
      <c r="D129" s="2" t="s">
        <v>1964</v>
      </c>
      <c r="E129" s="2" t="s">
        <v>68</v>
      </c>
      <c r="F129" s="227">
        <v>42979</v>
      </c>
      <c r="G129" s="227">
        <v>43343</v>
      </c>
      <c r="H129" s="208">
        <v>72000</v>
      </c>
      <c r="I129" s="228">
        <v>23997.599999999999</v>
      </c>
    </row>
    <row r="130" spans="1:9">
      <c r="A130" s="226">
        <v>501348</v>
      </c>
      <c r="B130" s="2" t="s">
        <v>1892</v>
      </c>
      <c r="C130" s="2" t="s">
        <v>515</v>
      </c>
      <c r="D130" s="2" t="s">
        <v>1965</v>
      </c>
      <c r="E130" s="2" t="s">
        <v>68</v>
      </c>
      <c r="F130" s="227">
        <v>42979</v>
      </c>
      <c r="G130" s="227">
        <v>43343</v>
      </c>
      <c r="H130" s="208">
        <v>25000</v>
      </c>
      <c r="I130" s="228">
        <v>8332.5</v>
      </c>
    </row>
    <row r="131" spans="1:9">
      <c r="A131" s="226">
        <v>501348</v>
      </c>
      <c r="B131" s="2" t="s">
        <v>1966</v>
      </c>
      <c r="C131" s="2" t="s">
        <v>515</v>
      </c>
      <c r="D131" s="2" t="s">
        <v>1967</v>
      </c>
      <c r="E131" s="2" t="s">
        <v>1907</v>
      </c>
      <c r="F131" s="227">
        <v>42979</v>
      </c>
      <c r="G131" s="227">
        <v>43343</v>
      </c>
      <c r="H131" s="208">
        <v>148000</v>
      </c>
      <c r="I131" s="228">
        <v>49328.399999999994</v>
      </c>
    </row>
    <row r="132" spans="1:9">
      <c r="A132" s="226">
        <v>501348</v>
      </c>
      <c r="B132" s="2" t="s">
        <v>1968</v>
      </c>
      <c r="C132" s="2" t="s">
        <v>515</v>
      </c>
      <c r="D132" s="2" t="s">
        <v>1969</v>
      </c>
      <c r="E132" s="2" t="s">
        <v>1727</v>
      </c>
      <c r="F132" s="227">
        <v>42979</v>
      </c>
      <c r="G132" s="227">
        <v>43343</v>
      </c>
      <c r="H132" s="208">
        <v>25000</v>
      </c>
      <c r="I132" s="228">
        <v>8332.5</v>
      </c>
    </row>
    <row r="133" spans="1:9">
      <c r="A133" s="226">
        <v>501348</v>
      </c>
      <c r="B133" s="2" t="s">
        <v>1786</v>
      </c>
      <c r="C133" s="2" t="s">
        <v>515</v>
      </c>
      <c r="D133" s="2" t="s">
        <v>1970</v>
      </c>
      <c r="E133" s="2" t="s">
        <v>1907</v>
      </c>
      <c r="F133" s="227">
        <v>42979</v>
      </c>
      <c r="G133" s="227">
        <v>43343</v>
      </c>
      <c r="H133" s="208">
        <v>43500</v>
      </c>
      <c r="I133" s="228">
        <v>14498.55</v>
      </c>
    </row>
    <row r="134" spans="1:9">
      <c r="A134" s="226">
        <v>501348</v>
      </c>
      <c r="B134" s="2" t="s">
        <v>1790</v>
      </c>
      <c r="C134" s="2" t="s">
        <v>515</v>
      </c>
      <c r="D134" s="2" t="s">
        <v>1971</v>
      </c>
      <c r="E134" s="2" t="s">
        <v>1907</v>
      </c>
      <c r="F134" s="227">
        <v>42979</v>
      </c>
      <c r="G134" s="227">
        <v>43343</v>
      </c>
      <c r="H134" s="208">
        <v>230671</v>
      </c>
      <c r="I134" s="228">
        <v>76882.6443</v>
      </c>
    </row>
    <row r="135" spans="1:9">
      <c r="A135" s="226">
        <v>501348</v>
      </c>
      <c r="B135" s="2" t="s">
        <v>1948</v>
      </c>
      <c r="C135" s="2" t="s">
        <v>515</v>
      </c>
      <c r="D135" s="2" t="s">
        <v>1972</v>
      </c>
      <c r="E135" s="2" t="s">
        <v>1727</v>
      </c>
      <c r="F135" s="227">
        <v>42979</v>
      </c>
      <c r="G135" s="227">
        <v>43343</v>
      </c>
      <c r="H135" s="208">
        <v>75000</v>
      </c>
      <c r="I135" s="228">
        <v>24997.5</v>
      </c>
    </row>
    <row r="136" spans="1:9">
      <c r="A136" s="226">
        <v>501349</v>
      </c>
      <c r="B136" s="2" t="s">
        <v>1973</v>
      </c>
      <c r="C136" s="2" t="s">
        <v>515</v>
      </c>
      <c r="D136" s="2" t="s">
        <v>1974</v>
      </c>
      <c r="E136" s="2" t="s">
        <v>53</v>
      </c>
      <c r="F136" s="227">
        <v>42979</v>
      </c>
      <c r="G136" s="227">
        <v>43343</v>
      </c>
      <c r="H136" s="208">
        <v>100000</v>
      </c>
      <c r="I136" s="228">
        <v>33330</v>
      </c>
    </row>
    <row r="137" spans="1:9">
      <c r="A137" s="226">
        <v>501349</v>
      </c>
      <c r="B137" s="2" t="s">
        <v>1975</v>
      </c>
      <c r="C137" s="2" t="s">
        <v>515</v>
      </c>
      <c r="D137" s="2" t="s">
        <v>1976</v>
      </c>
      <c r="E137" s="2" t="s">
        <v>53</v>
      </c>
      <c r="F137" s="227">
        <v>42979</v>
      </c>
      <c r="G137" s="227">
        <v>43343</v>
      </c>
      <c r="H137" s="208">
        <v>100000</v>
      </c>
      <c r="I137" s="228">
        <v>33330</v>
      </c>
    </row>
    <row r="138" spans="1:9">
      <c r="A138" s="226">
        <v>501349</v>
      </c>
      <c r="B138" s="2" t="s">
        <v>1977</v>
      </c>
      <c r="C138" s="2" t="s">
        <v>515</v>
      </c>
      <c r="D138" s="2" t="s">
        <v>1978</v>
      </c>
      <c r="E138" s="2" t="s">
        <v>53</v>
      </c>
      <c r="F138" s="227">
        <v>42979</v>
      </c>
      <c r="G138" s="227">
        <v>43343</v>
      </c>
      <c r="H138" s="208">
        <v>240823</v>
      </c>
      <c r="I138" s="228">
        <v>80266.305899999992</v>
      </c>
    </row>
    <row r="139" spans="1:9">
      <c r="A139" s="226">
        <v>501349</v>
      </c>
      <c r="B139" s="2" t="s">
        <v>1781</v>
      </c>
      <c r="C139" s="2" t="s">
        <v>515</v>
      </c>
      <c r="D139" s="2" t="s">
        <v>1979</v>
      </c>
      <c r="E139" s="2" t="s">
        <v>1907</v>
      </c>
      <c r="F139" s="227">
        <v>42979</v>
      </c>
      <c r="G139" s="227">
        <v>43343</v>
      </c>
      <c r="H139" s="208">
        <v>90000</v>
      </c>
      <c r="I139" s="228">
        <v>29997</v>
      </c>
    </row>
    <row r="140" spans="1:9">
      <c r="A140" s="226">
        <v>501349</v>
      </c>
      <c r="B140" s="2" t="s">
        <v>1429</v>
      </c>
      <c r="C140" s="2" t="s">
        <v>515</v>
      </c>
      <c r="D140" s="2" t="s">
        <v>1980</v>
      </c>
      <c r="E140" s="2" t="s">
        <v>53</v>
      </c>
      <c r="F140" s="227">
        <v>42979</v>
      </c>
      <c r="G140" s="227">
        <v>43343</v>
      </c>
      <c r="H140" s="208">
        <v>21100</v>
      </c>
      <c r="I140" s="228">
        <v>7032.63</v>
      </c>
    </row>
    <row r="141" spans="1:9">
      <c r="A141" s="226">
        <v>501349</v>
      </c>
      <c r="B141" s="2" t="s">
        <v>1756</v>
      </c>
      <c r="C141" s="2" t="s">
        <v>515</v>
      </c>
      <c r="D141" s="2" t="s">
        <v>1981</v>
      </c>
      <c r="E141" s="2" t="s">
        <v>1727</v>
      </c>
      <c r="F141" s="227">
        <v>42979</v>
      </c>
      <c r="G141" s="227">
        <v>43343</v>
      </c>
      <c r="H141" s="208">
        <v>15400</v>
      </c>
      <c r="I141" s="228">
        <v>5132.82</v>
      </c>
    </row>
    <row r="142" spans="1:9">
      <c r="A142" s="226">
        <v>501349</v>
      </c>
      <c r="B142" s="2" t="s">
        <v>1982</v>
      </c>
      <c r="C142" s="2" t="s">
        <v>515</v>
      </c>
      <c r="D142" s="2" t="s">
        <v>1983</v>
      </c>
      <c r="E142" s="2" t="s">
        <v>1984</v>
      </c>
      <c r="F142" s="227">
        <v>42979</v>
      </c>
      <c r="G142" s="227">
        <v>43343</v>
      </c>
      <c r="H142" s="208">
        <v>100000</v>
      </c>
      <c r="I142" s="228">
        <v>33330</v>
      </c>
    </row>
    <row r="143" spans="1:9">
      <c r="A143" s="226">
        <v>501380</v>
      </c>
      <c r="B143" s="2" t="s">
        <v>1954</v>
      </c>
      <c r="C143" s="2" t="s">
        <v>515</v>
      </c>
      <c r="D143" s="2" t="s">
        <v>1985</v>
      </c>
      <c r="E143" s="2" t="s">
        <v>1727</v>
      </c>
      <c r="F143" s="227">
        <v>42979</v>
      </c>
      <c r="G143" s="227">
        <v>43343</v>
      </c>
      <c r="H143" s="208">
        <v>139525</v>
      </c>
      <c r="I143" s="228">
        <v>46503.682499999995</v>
      </c>
    </row>
    <row r="144" spans="1:9">
      <c r="A144" s="226">
        <v>501380</v>
      </c>
      <c r="B144" s="2" t="s">
        <v>1779</v>
      </c>
      <c r="C144" s="2" t="s">
        <v>515</v>
      </c>
      <c r="D144" s="2" t="s">
        <v>1986</v>
      </c>
      <c r="E144" s="2" t="s">
        <v>53</v>
      </c>
      <c r="F144" s="227">
        <v>42979</v>
      </c>
      <c r="G144" s="227">
        <v>43343</v>
      </c>
      <c r="H144" s="208">
        <v>25000</v>
      </c>
      <c r="I144" s="228">
        <v>8332.5</v>
      </c>
    </row>
    <row r="145" spans="1:9">
      <c r="A145" s="226">
        <v>501380</v>
      </c>
      <c r="B145" s="2" t="s">
        <v>1987</v>
      </c>
      <c r="C145" s="2" t="s">
        <v>515</v>
      </c>
      <c r="D145" s="2" t="s">
        <v>1988</v>
      </c>
      <c r="E145" s="2" t="s">
        <v>53</v>
      </c>
      <c r="F145" s="227">
        <v>42979</v>
      </c>
      <c r="G145" s="227">
        <v>43343</v>
      </c>
      <c r="H145" s="208">
        <v>24085</v>
      </c>
      <c r="I145" s="228">
        <v>8027.5304999999998</v>
      </c>
    </row>
    <row r="146" spans="1:9">
      <c r="A146" s="226">
        <v>500463</v>
      </c>
      <c r="B146" s="2">
        <v>207221</v>
      </c>
      <c r="C146" s="2" t="s">
        <v>1812</v>
      </c>
      <c r="D146" s="2" t="s">
        <v>936</v>
      </c>
      <c r="E146" s="2" t="s">
        <v>1727</v>
      </c>
      <c r="F146" s="227">
        <v>42401</v>
      </c>
      <c r="G146" s="227">
        <v>43131</v>
      </c>
      <c r="H146" s="208">
        <v>30000</v>
      </c>
      <c r="I146" s="228">
        <v>9999</v>
      </c>
    </row>
    <row r="147" spans="1:9">
      <c r="A147" s="226">
        <v>500488</v>
      </c>
      <c r="B147" s="2" t="s">
        <v>1989</v>
      </c>
      <c r="C147" s="2" t="s">
        <v>1812</v>
      </c>
      <c r="D147" s="2" t="s">
        <v>1388</v>
      </c>
      <c r="E147" s="2" t="s">
        <v>53</v>
      </c>
      <c r="F147" s="227">
        <v>42401</v>
      </c>
      <c r="G147" s="227">
        <v>43131</v>
      </c>
      <c r="H147" s="208">
        <v>30000</v>
      </c>
      <c r="I147" s="228">
        <v>9999</v>
      </c>
    </row>
    <row r="148" spans="1:9">
      <c r="A148" s="226">
        <v>502069</v>
      </c>
      <c r="B148" s="2" t="s">
        <v>1938</v>
      </c>
      <c r="C148" s="2" t="s">
        <v>1813</v>
      </c>
      <c r="D148" s="2" t="s">
        <v>924</v>
      </c>
      <c r="E148" s="2" t="s">
        <v>1727</v>
      </c>
      <c r="F148" s="227">
        <v>42736</v>
      </c>
      <c r="G148" s="227">
        <v>43100</v>
      </c>
      <c r="H148" s="208">
        <v>15000</v>
      </c>
      <c r="I148" s="228">
        <v>4999.5</v>
      </c>
    </row>
    <row r="149" spans="1:9">
      <c r="A149" s="226">
        <v>502069</v>
      </c>
      <c r="B149" s="2" t="s">
        <v>1990</v>
      </c>
      <c r="C149" s="2" t="s">
        <v>1813</v>
      </c>
      <c r="D149" s="2" t="s">
        <v>996</v>
      </c>
      <c r="E149" s="2" t="s">
        <v>68</v>
      </c>
      <c r="F149" s="227">
        <v>42736</v>
      </c>
      <c r="G149" s="227">
        <v>43100</v>
      </c>
      <c r="H149" s="208">
        <v>15000</v>
      </c>
      <c r="I149" s="228">
        <v>4999.5</v>
      </c>
    </row>
    <row r="150" spans="1:9">
      <c r="A150" s="226">
        <v>501814</v>
      </c>
      <c r="B150" s="2">
        <v>208846</v>
      </c>
      <c r="C150" s="2" t="s">
        <v>8</v>
      </c>
      <c r="D150" s="2" t="s">
        <v>1991</v>
      </c>
      <c r="E150" s="2" t="s">
        <v>1727</v>
      </c>
      <c r="F150" s="227">
        <v>42979</v>
      </c>
      <c r="G150" s="227">
        <v>43708</v>
      </c>
      <c r="H150" s="208">
        <v>55600</v>
      </c>
      <c r="I150" s="228">
        <v>18531.48</v>
      </c>
    </row>
    <row r="151" spans="1:9">
      <c r="A151" s="226">
        <v>504222</v>
      </c>
      <c r="B151" s="2">
        <v>209142</v>
      </c>
      <c r="C151" s="2" t="s">
        <v>8</v>
      </c>
      <c r="D151" s="2" t="s">
        <v>1992</v>
      </c>
      <c r="E151" s="2" t="s">
        <v>1727</v>
      </c>
      <c r="F151" s="227">
        <v>43101</v>
      </c>
      <c r="G151" s="227">
        <v>43830</v>
      </c>
      <c r="H151" s="208">
        <v>150000</v>
      </c>
      <c r="I151" s="228">
        <v>49995</v>
      </c>
    </row>
    <row r="152" spans="1:9">
      <c r="A152" s="226">
        <v>504223</v>
      </c>
      <c r="B152" s="2">
        <v>209142</v>
      </c>
      <c r="C152" s="2" t="s">
        <v>8</v>
      </c>
      <c r="D152" s="2" t="s">
        <v>1992</v>
      </c>
      <c r="E152" s="2" t="s">
        <v>1727</v>
      </c>
      <c r="F152" s="227">
        <v>43101</v>
      </c>
      <c r="G152" s="227">
        <v>43830</v>
      </c>
      <c r="H152" s="208">
        <v>55600</v>
      </c>
      <c r="I152" s="228">
        <v>18531.48</v>
      </c>
    </row>
    <row r="153" spans="1:9">
      <c r="A153" s="226">
        <v>504839</v>
      </c>
      <c r="B153" s="2">
        <v>209210</v>
      </c>
      <c r="C153" s="2" t="s">
        <v>8</v>
      </c>
      <c r="D153" s="2" t="s">
        <v>1993</v>
      </c>
      <c r="E153" s="2" t="s">
        <v>68</v>
      </c>
      <c r="F153" s="227">
        <v>43070</v>
      </c>
      <c r="G153" s="227">
        <v>43191</v>
      </c>
      <c r="H153" s="208">
        <v>300000</v>
      </c>
      <c r="I153" s="228">
        <v>99990</v>
      </c>
    </row>
    <row r="154" spans="1:9">
      <c r="A154" s="226">
        <v>504875</v>
      </c>
      <c r="B154" s="2">
        <v>209210</v>
      </c>
      <c r="C154" s="2" t="s">
        <v>8</v>
      </c>
      <c r="D154" s="2" t="s">
        <v>1993</v>
      </c>
      <c r="E154" s="2" t="s">
        <v>68</v>
      </c>
      <c r="F154" s="227">
        <v>43070</v>
      </c>
      <c r="G154" s="227">
        <v>43191</v>
      </c>
      <c r="H154" s="208">
        <v>110000</v>
      </c>
      <c r="I154" s="228">
        <v>36663</v>
      </c>
    </row>
    <row r="155" spans="1:9">
      <c r="A155" s="226">
        <v>500974</v>
      </c>
      <c r="B155" s="2" t="s">
        <v>1994</v>
      </c>
      <c r="C155" s="2" t="s">
        <v>19</v>
      </c>
      <c r="D155" s="2" t="s">
        <v>656</v>
      </c>
      <c r="E155" s="2" t="s">
        <v>1727</v>
      </c>
      <c r="F155" s="227">
        <v>42522</v>
      </c>
      <c r="G155" s="227">
        <v>43251</v>
      </c>
      <c r="H155" s="208">
        <v>49500</v>
      </c>
      <c r="I155" s="228">
        <v>16498.349999999999</v>
      </c>
    </row>
    <row r="156" spans="1:9">
      <c r="A156" s="226">
        <v>500974</v>
      </c>
      <c r="B156" s="2" t="s">
        <v>1429</v>
      </c>
      <c r="C156" s="2" t="s">
        <v>19</v>
      </c>
      <c r="D156" s="2" t="s">
        <v>69</v>
      </c>
      <c r="E156" s="2" t="s">
        <v>53</v>
      </c>
      <c r="F156" s="227">
        <v>42522</v>
      </c>
      <c r="G156" s="227">
        <v>43251</v>
      </c>
      <c r="H156" s="208">
        <v>50500</v>
      </c>
      <c r="I156" s="228">
        <v>16831.649999999998</v>
      </c>
    </row>
    <row r="157" spans="1:9">
      <c r="A157" s="226">
        <v>500976</v>
      </c>
      <c r="B157" s="2" t="s">
        <v>1912</v>
      </c>
      <c r="C157" s="2" t="s">
        <v>19</v>
      </c>
      <c r="D157" s="2" t="s">
        <v>317</v>
      </c>
      <c r="E157" s="2" t="s">
        <v>53</v>
      </c>
      <c r="F157" s="227">
        <v>42522</v>
      </c>
      <c r="G157" s="227">
        <v>43251</v>
      </c>
      <c r="H157" s="208">
        <v>75000</v>
      </c>
      <c r="I157" s="228">
        <v>24997.5</v>
      </c>
    </row>
    <row r="158" spans="1:9">
      <c r="A158" s="226">
        <v>501045</v>
      </c>
      <c r="B158" s="2" t="s">
        <v>1995</v>
      </c>
      <c r="C158" s="2" t="s">
        <v>19</v>
      </c>
      <c r="D158" s="2" t="s">
        <v>1095</v>
      </c>
      <c r="E158" s="2" t="s">
        <v>1984</v>
      </c>
      <c r="F158" s="227">
        <v>42522</v>
      </c>
      <c r="G158" s="227">
        <v>43251</v>
      </c>
      <c r="H158" s="208">
        <v>75000</v>
      </c>
      <c r="I158" s="228">
        <v>24997.5</v>
      </c>
    </row>
    <row r="159" spans="1:9">
      <c r="A159" s="226">
        <v>502560</v>
      </c>
      <c r="B159" s="2" t="s">
        <v>1837</v>
      </c>
      <c r="C159" s="2" t="s">
        <v>19</v>
      </c>
      <c r="D159" s="2" t="s">
        <v>106</v>
      </c>
      <c r="E159" s="2" t="s">
        <v>1727</v>
      </c>
      <c r="F159" s="227">
        <v>42826</v>
      </c>
      <c r="G159" s="227">
        <v>43190</v>
      </c>
      <c r="H159" s="208">
        <v>41600</v>
      </c>
      <c r="I159" s="228">
        <v>13865.279999999999</v>
      </c>
    </row>
    <row r="160" spans="1:9">
      <c r="A160" s="226">
        <v>502560</v>
      </c>
      <c r="B160" s="2" t="s">
        <v>1844</v>
      </c>
      <c r="C160" s="2" t="s">
        <v>19</v>
      </c>
      <c r="D160" s="2" t="s">
        <v>1996</v>
      </c>
      <c r="E160" s="2" t="s">
        <v>1727</v>
      </c>
      <c r="F160" s="227">
        <v>42826</v>
      </c>
      <c r="G160" s="227">
        <v>43190</v>
      </c>
      <c r="H160" s="208">
        <v>58400</v>
      </c>
      <c r="I160" s="228">
        <v>19464.719999999998</v>
      </c>
    </row>
    <row r="161" spans="1:9">
      <c r="A161" s="226">
        <v>502561</v>
      </c>
      <c r="B161" s="2" t="s">
        <v>1903</v>
      </c>
      <c r="C161" s="2" t="s">
        <v>19</v>
      </c>
      <c r="D161" s="2" t="s">
        <v>199</v>
      </c>
      <c r="E161" s="2" t="s">
        <v>1727</v>
      </c>
      <c r="F161" s="227">
        <v>42826</v>
      </c>
      <c r="G161" s="227">
        <v>43190</v>
      </c>
      <c r="H161" s="208">
        <v>38750</v>
      </c>
      <c r="I161" s="228">
        <v>12915.375</v>
      </c>
    </row>
    <row r="162" spans="1:9">
      <c r="A162" s="226">
        <v>502561</v>
      </c>
      <c r="B162" s="2" t="s">
        <v>1997</v>
      </c>
      <c r="C162" s="2" t="s">
        <v>19</v>
      </c>
      <c r="D162" s="2" t="s">
        <v>1998</v>
      </c>
      <c r="E162" s="2" t="s">
        <v>1727</v>
      </c>
      <c r="F162" s="227">
        <v>42826</v>
      </c>
      <c r="G162" s="227">
        <v>43190</v>
      </c>
      <c r="H162" s="208">
        <v>61250</v>
      </c>
      <c r="I162" s="228">
        <v>20414.625</v>
      </c>
    </row>
    <row r="163" spans="1:9">
      <c r="A163" s="226">
        <v>502562</v>
      </c>
      <c r="B163" s="2" t="s">
        <v>1768</v>
      </c>
      <c r="C163" s="2" t="s">
        <v>19</v>
      </c>
      <c r="D163" s="2" t="s">
        <v>1769</v>
      </c>
      <c r="E163" s="2" t="s">
        <v>1727</v>
      </c>
      <c r="F163" s="227">
        <v>42826</v>
      </c>
      <c r="G163" s="227">
        <v>43190</v>
      </c>
      <c r="H163" s="208">
        <v>100000</v>
      </c>
      <c r="I163" s="228">
        <v>33330</v>
      </c>
    </row>
    <row r="164" spans="1:9">
      <c r="A164" s="226">
        <v>502577</v>
      </c>
      <c r="B164" s="2" t="s">
        <v>1999</v>
      </c>
      <c r="C164" s="2" t="s">
        <v>19</v>
      </c>
      <c r="D164" s="2" t="s">
        <v>967</v>
      </c>
      <c r="E164" s="2" t="s">
        <v>1727</v>
      </c>
      <c r="F164" s="227">
        <v>42826</v>
      </c>
      <c r="G164" s="227">
        <v>43190</v>
      </c>
      <c r="H164" s="208">
        <v>50000</v>
      </c>
      <c r="I164" s="228">
        <v>16665</v>
      </c>
    </row>
    <row r="165" spans="1:9">
      <c r="A165" s="226">
        <v>502577</v>
      </c>
      <c r="B165" s="2" t="s">
        <v>1892</v>
      </c>
      <c r="C165" s="2" t="s">
        <v>19</v>
      </c>
      <c r="D165" s="2" t="s">
        <v>2000</v>
      </c>
      <c r="E165" s="2" t="s">
        <v>68</v>
      </c>
      <c r="F165" s="227">
        <v>42826</v>
      </c>
      <c r="G165" s="227">
        <v>43190</v>
      </c>
      <c r="H165" s="208">
        <v>50000</v>
      </c>
      <c r="I165" s="228">
        <v>16665</v>
      </c>
    </row>
    <row r="166" spans="1:9">
      <c r="A166" s="226">
        <v>502687</v>
      </c>
      <c r="B166" s="2" t="s">
        <v>2001</v>
      </c>
      <c r="C166" s="2" t="s">
        <v>19</v>
      </c>
      <c r="D166" s="2" t="s">
        <v>2002</v>
      </c>
      <c r="E166" s="2" t="s">
        <v>1727</v>
      </c>
      <c r="F166" s="227">
        <v>42826</v>
      </c>
      <c r="G166" s="227">
        <v>43190</v>
      </c>
      <c r="H166" s="208">
        <v>99892</v>
      </c>
      <c r="I166" s="228">
        <v>33294.003599999996</v>
      </c>
    </row>
    <row r="167" spans="1:9">
      <c r="A167" s="226">
        <v>502801</v>
      </c>
      <c r="B167" s="2" t="s">
        <v>2003</v>
      </c>
      <c r="C167" s="2" t="s">
        <v>19</v>
      </c>
      <c r="D167" s="2" t="s">
        <v>2004</v>
      </c>
      <c r="E167" s="2" t="s">
        <v>1984</v>
      </c>
      <c r="F167" s="227">
        <v>42826</v>
      </c>
      <c r="G167" s="227">
        <v>43190</v>
      </c>
      <c r="H167" s="208">
        <v>100000</v>
      </c>
      <c r="I167" s="228">
        <v>33330</v>
      </c>
    </row>
    <row r="168" spans="1:9">
      <c r="A168" s="226">
        <v>503281</v>
      </c>
      <c r="B168" s="2">
        <v>211789</v>
      </c>
      <c r="C168" s="2" t="s">
        <v>1806</v>
      </c>
      <c r="D168" s="2" t="s">
        <v>2005</v>
      </c>
      <c r="E168" s="2" t="s">
        <v>1984</v>
      </c>
      <c r="F168" s="227">
        <v>42917</v>
      </c>
      <c r="G168" s="227">
        <v>43190</v>
      </c>
      <c r="H168" s="208">
        <v>50000</v>
      </c>
      <c r="I168" s="228">
        <v>16665</v>
      </c>
    </row>
    <row r="169" spans="1:9">
      <c r="A169" s="226">
        <v>503282</v>
      </c>
      <c r="B169" s="2" t="s">
        <v>1862</v>
      </c>
      <c r="C169" s="2" t="s">
        <v>1806</v>
      </c>
      <c r="D169" s="2" t="s">
        <v>2006</v>
      </c>
      <c r="E169" s="2" t="s">
        <v>1727</v>
      </c>
      <c r="F169" s="227">
        <v>42917</v>
      </c>
      <c r="G169" s="227">
        <v>43190</v>
      </c>
      <c r="H169" s="208">
        <v>30000</v>
      </c>
      <c r="I169" s="228">
        <v>9999</v>
      </c>
    </row>
    <row r="170" spans="1:9">
      <c r="A170" s="226">
        <v>503283</v>
      </c>
      <c r="B170" s="2" t="s">
        <v>2007</v>
      </c>
      <c r="C170" s="2" t="s">
        <v>1806</v>
      </c>
      <c r="D170" s="2" t="s">
        <v>2008</v>
      </c>
      <c r="E170" s="2" t="s">
        <v>68</v>
      </c>
      <c r="F170" s="227">
        <v>42917</v>
      </c>
      <c r="G170" s="227">
        <v>43190</v>
      </c>
      <c r="H170" s="208">
        <v>27000</v>
      </c>
      <c r="I170" s="228">
        <v>8999.1</v>
      </c>
    </row>
    <row r="171" spans="1:9">
      <c r="A171" s="226">
        <v>503284</v>
      </c>
      <c r="B171" s="2" t="s">
        <v>1898</v>
      </c>
      <c r="C171" s="2" t="s">
        <v>1806</v>
      </c>
      <c r="D171" s="2" t="s">
        <v>2009</v>
      </c>
      <c r="E171" s="2" t="s">
        <v>1727</v>
      </c>
      <c r="F171" s="227">
        <v>42917</v>
      </c>
      <c r="G171" s="227">
        <v>43555</v>
      </c>
      <c r="H171" s="208">
        <v>25000</v>
      </c>
      <c r="I171" s="228">
        <v>8332.5</v>
      </c>
    </row>
    <row r="172" spans="1:9">
      <c r="A172" s="226">
        <v>502098</v>
      </c>
      <c r="B172" s="2" t="s">
        <v>2010</v>
      </c>
      <c r="C172" s="2" t="s">
        <v>1814</v>
      </c>
      <c r="D172" s="2" t="s">
        <v>2011</v>
      </c>
      <c r="E172" s="2" t="s">
        <v>1727</v>
      </c>
      <c r="F172" s="227">
        <v>42826</v>
      </c>
      <c r="G172" s="227">
        <v>43190</v>
      </c>
      <c r="H172" s="208">
        <v>37500</v>
      </c>
      <c r="I172" s="228">
        <v>12498.75</v>
      </c>
    </row>
    <row r="173" spans="1:9">
      <c r="A173" s="226">
        <v>502100</v>
      </c>
      <c r="B173" s="2" t="s">
        <v>2012</v>
      </c>
      <c r="C173" s="2" t="s">
        <v>1814</v>
      </c>
      <c r="D173" s="2" t="s">
        <v>2013</v>
      </c>
      <c r="E173" s="2" t="s">
        <v>1727</v>
      </c>
      <c r="F173" s="227">
        <v>42826</v>
      </c>
      <c r="G173" s="227">
        <v>43190</v>
      </c>
      <c r="H173" s="208">
        <v>37500</v>
      </c>
      <c r="I173" s="228">
        <v>12498.75</v>
      </c>
    </row>
    <row r="174" spans="1:9">
      <c r="A174" s="226">
        <v>502314</v>
      </c>
      <c r="B174" s="2" t="s">
        <v>1892</v>
      </c>
      <c r="C174" s="2" t="s">
        <v>1814</v>
      </c>
      <c r="D174" s="2" t="s">
        <v>2014</v>
      </c>
      <c r="E174" s="2" t="s">
        <v>68</v>
      </c>
      <c r="F174" s="227">
        <v>42826</v>
      </c>
      <c r="G174" s="227">
        <v>43190</v>
      </c>
      <c r="H174" s="208">
        <v>55000</v>
      </c>
      <c r="I174" s="228">
        <v>18331.5</v>
      </c>
    </row>
    <row r="175" spans="1:9">
      <c r="A175" s="226">
        <v>502314</v>
      </c>
      <c r="B175" s="2" t="s">
        <v>1948</v>
      </c>
      <c r="C175" s="2" t="s">
        <v>1814</v>
      </c>
      <c r="D175" s="2" t="s">
        <v>741</v>
      </c>
      <c r="E175" s="2" t="s">
        <v>1727</v>
      </c>
      <c r="F175" s="227">
        <v>42826</v>
      </c>
      <c r="G175" s="227">
        <v>43190</v>
      </c>
      <c r="H175" s="208">
        <v>20000</v>
      </c>
      <c r="I175" s="228">
        <v>6666</v>
      </c>
    </row>
    <row r="176" spans="1:9">
      <c r="A176" s="226">
        <v>502315</v>
      </c>
      <c r="B176" s="2" t="s">
        <v>2015</v>
      </c>
      <c r="C176" s="2" t="s">
        <v>1814</v>
      </c>
      <c r="D176" s="2" t="s">
        <v>2016</v>
      </c>
      <c r="E176" s="2" t="s">
        <v>68</v>
      </c>
      <c r="F176" s="227">
        <v>42826</v>
      </c>
      <c r="G176" s="227">
        <v>43190</v>
      </c>
      <c r="H176" s="208">
        <v>46000</v>
      </c>
      <c r="I176" s="228">
        <v>15331.8</v>
      </c>
    </row>
    <row r="177" spans="1:9">
      <c r="A177" s="226">
        <v>502315</v>
      </c>
      <c r="B177" s="2" t="s">
        <v>2017</v>
      </c>
      <c r="C177" s="2" t="s">
        <v>1814</v>
      </c>
      <c r="D177" s="2" t="s">
        <v>810</v>
      </c>
      <c r="E177" s="2" t="s">
        <v>1727</v>
      </c>
      <c r="F177" s="227">
        <v>42826</v>
      </c>
      <c r="G177" s="227">
        <v>43190</v>
      </c>
      <c r="H177" s="208">
        <v>29000</v>
      </c>
      <c r="I177" s="228">
        <v>9665.6999999999989</v>
      </c>
    </row>
    <row r="178" spans="1:9">
      <c r="A178" s="226">
        <v>502316</v>
      </c>
      <c r="B178" s="2" t="s">
        <v>1910</v>
      </c>
      <c r="C178" s="2" t="s">
        <v>1814</v>
      </c>
      <c r="D178" s="2" t="s">
        <v>1065</v>
      </c>
      <c r="E178" s="2" t="s">
        <v>68</v>
      </c>
      <c r="F178" s="227">
        <v>42826</v>
      </c>
      <c r="G178" s="227">
        <v>43190</v>
      </c>
      <c r="H178" s="208">
        <v>8200</v>
      </c>
      <c r="I178" s="228">
        <v>2733.06</v>
      </c>
    </row>
    <row r="179" spans="1:9">
      <c r="A179" s="226">
        <v>502316</v>
      </c>
      <c r="B179" s="2" t="s">
        <v>2018</v>
      </c>
      <c r="C179" s="2" t="s">
        <v>1814</v>
      </c>
      <c r="D179" s="2" t="s">
        <v>2019</v>
      </c>
      <c r="E179" s="2" t="s">
        <v>68</v>
      </c>
      <c r="F179" s="227">
        <v>42826</v>
      </c>
      <c r="G179" s="227">
        <v>43190</v>
      </c>
      <c r="H179" s="208">
        <v>66774</v>
      </c>
      <c r="I179" s="228">
        <v>22255.7742</v>
      </c>
    </row>
    <row r="180" spans="1:9">
      <c r="A180" s="226">
        <v>502527</v>
      </c>
      <c r="B180" s="2" t="s">
        <v>2020</v>
      </c>
      <c r="C180" s="2" t="s">
        <v>1814</v>
      </c>
      <c r="D180" s="2" t="s">
        <v>2021</v>
      </c>
      <c r="E180" s="2" t="s">
        <v>53</v>
      </c>
      <c r="F180" s="227">
        <v>42826</v>
      </c>
      <c r="G180" s="227">
        <v>43190</v>
      </c>
      <c r="H180" s="208">
        <v>75000</v>
      </c>
      <c r="I180" s="228">
        <v>24997.5</v>
      </c>
    </row>
    <row r="181" spans="1:9">
      <c r="A181" s="226">
        <v>502564</v>
      </c>
      <c r="B181" s="2" t="s">
        <v>2022</v>
      </c>
      <c r="C181" s="2" t="s">
        <v>1814</v>
      </c>
      <c r="D181" s="2" t="s">
        <v>2023</v>
      </c>
      <c r="E181" s="2" t="s">
        <v>68</v>
      </c>
      <c r="F181" s="227">
        <v>42826</v>
      </c>
      <c r="G181" s="227">
        <v>43190</v>
      </c>
      <c r="H181" s="208">
        <v>75000</v>
      </c>
      <c r="I181" s="228">
        <v>24997.5</v>
      </c>
    </row>
    <row r="182" spans="1:9">
      <c r="A182" s="226">
        <v>500689</v>
      </c>
      <c r="B182" s="2" t="s">
        <v>1779</v>
      </c>
      <c r="C182" s="2" t="s">
        <v>1808</v>
      </c>
      <c r="D182" s="2" t="s">
        <v>2024</v>
      </c>
      <c r="E182" s="2" t="s">
        <v>53</v>
      </c>
      <c r="F182" s="227">
        <v>42461</v>
      </c>
      <c r="G182" s="227">
        <v>43555</v>
      </c>
      <c r="H182" s="208">
        <v>25000</v>
      </c>
      <c r="I182" s="228">
        <v>8332.5</v>
      </c>
    </row>
    <row r="183" spans="1:9">
      <c r="A183" s="226">
        <v>500699</v>
      </c>
      <c r="B183" s="2" t="s">
        <v>1781</v>
      </c>
      <c r="C183" s="2" t="s">
        <v>1808</v>
      </c>
      <c r="D183" s="2" t="s">
        <v>2025</v>
      </c>
      <c r="E183" s="2" t="s">
        <v>1907</v>
      </c>
      <c r="F183" s="227">
        <v>42461</v>
      </c>
      <c r="G183" s="227">
        <v>43555</v>
      </c>
      <c r="H183" s="208">
        <v>25000</v>
      </c>
      <c r="I183" s="228">
        <v>8332.5</v>
      </c>
    </row>
    <row r="184" spans="1:9">
      <c r="A184" s="226">
        <v>502319</v>
      </c>
      <c r="B184" s="2" t="s">
        <v>1788</v>
      </c>
      <c r="C184" s="2" t="s">
        <v>1808</v>
      </c>
      <c r="D184" s="2" t="s">
        <v>1576</v>
      </c>
      <c r="E184" s="2" t="s">
        <v>53</v>
      </c>
      <c r="F184" s="227">
        <v>42826</v>
      </c>
      <c r="G184" s="227">
        <v>43921</v>
      </c>
      <c r="H184" s="208">
        <v>25000</v>
      </c>
      <c r="I184" s="228">
        <v>8332.5</v>
      </c>
    </row>
    <row r="185" spans="1:9">
      <c r="A185" s="226">
        <v>502320</v>
      </c>
      <c r="B185" s="2" t="s">
        <v>1783</v>
      </c>
      <c r="C185" s="2" t="s">
        <v>1808</v>
      </c>
      <c r="D185" s="2" t="s">
        <v>1784</v>
      </c>
      <c r="E185" s="2" t="s">
        <v>53</v>
      </c>
      <c r="F185" s="227">
        <v>42826</v>
      </c>
      <c r="G185" s="227">
        <v>43921</v>
      </c>
      <c r="H185" s="208">
        <v>25000</v>
      </c>
      <c r="I185" s="228">
        <v>8332.5</v>
      </c>
    </row>
    <row r="186" spans="1:9">
      <c r="A186" s="226">
        <v>502535</v>
      </c>
      <c r="B186" s="2" t="s">
        <v>1429</v>
      </c>
      <c r="C186" s="2" t="s">
        <v>1815</v>
      </c>
      <c r="D186" s="2" t="s">
        <v>1777</v>
      </c>
      <c r="E186" s="2" t="s">
        <v>53</v>
      </c>
      <c r="F186" s="227">
        <v>43070</v>
      </c>
      <c r="G186" s="227">
        <v>43465</v>
      </c>
      <c r="H186" s="208">
        <v>16667</v>
      </c>
      <c r="I186" s="228">
        <v>5555.1111000000001</v>
      </c>
    </row>
    <row r="187" spans="1:9">
      <c r="A187" s="226">
        <v>502529</v>
      </c>
      <c r="B187" s="2" t="s">
        <v>1790</v>
      </c>
      <c r="C187" s="2" t="s">
        <v>1815</v>
      </c>
      <c r="D187" s="2" t="s">
        <v>1578</v>
      </c>
      <c r="E187" s="2" t="s">
        <v>1907</v>
      </c>
      <c r="F187" s="227">
        <v>42826</v>
      </c>
      <c r="G187" s="227">
        <v>43921</v>
      </c>
      <c r="H187" s="208">
        <v>50000</v>
      </c>
      <c r="I187" s="228">
        <v>16665</v>
      </c>
    </row>
    <row r="188" spans="1:9">
      <c r="A188" s="226">
        <v>502531</v>
      </c>
      <c r="B188" s="2" t="s">
        <v>1786</v>
      </c>
      <c r="C188" s="2" t="s">
        <v>1815</v>
      </c>
      <c r="D188" s="2" t="s">
        <v>1580</v>
      </c>
      <c r="E188" s="2" t="s">
        <v>1907</v>
      </c>
      <c r="F188" s="227">
        <v>42826</v>
      </c>
      <c r="G188" s="227">
        <v>43921</v>
      </c>
      <c r="H188" s="208">
        <v>50000</v>
      </c>
      <c r="I188" s="228">
        <v>16665</v>
      </c>
    </row>
    <row r="189" spans="1:9" ht="15.75" thickBot="1">
      <c r="A189" s="229">
        <v>502553</v>
      </c>
      <c r="B189" s="230" t="s">
        <v>1792</v>
      </c>
      <c r="C189" s="230" t="s">
        <v>1815</v>
      </c>
      <c r="D189" s="230" t="s">
        <v>1583</v>
      </c>
      <c r="E189" s="230" t="s">
        <v>1727</v>
      </c>
      <c r="F189" s="231">
        <v>42826</v>
      </c>
      <c r="G189" s="231">
        <v>43921</v>
      </c>
      <c r="H189" s="232">
        <v>50000</v>
      </c>
      <c r="I189" s="233">
        <v>16665</v>
      </c>
    </row>
    <row r="190" spans="1:9">
      <c r="H190" s="234">
        <f>SUM(H39:H189)</f>
        <v>13058119</v>
      </c>
      <c r="I190" s="234">
        <f>SUM(I39:I189)</f>
        <v>4352271.0627000006</v>
      </c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</sheetData>
  <mergeCells count="1">
    <mergeCell ref="C2:G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33"/>
  <sheetViews>
    <sheetView workbookViewId="0">
      <selection activeCell="C1" sqref="C1"/>
    </sheetView>
  </sheetViews>
  <sheetFormatPr defaultRowHeight="15"/>
  <cols>
    <col min="1" max="1" width="17.140625" customWidth="1"/>
    <col min="2" max="2" width="14.7109375" customWidth="1"/>
    <col min="3" max="3" width="17.5703125" bestFit="1" customWidth="1"/>
    <col min="4" max="5" width="14.7109375" customWidth="1"/>
    <col min="6" max="6" width="19" bestFit="1" customWidth="1"/>
    <col min="7" max="9" width="19" customWidth="1"/>
    <col min="10" max="10" width="36.5703125" bestFit="1" customWidth="1"/>
    <col min="11" max="11" width="12" customWidth="1"/>
    <col min="12" max="12" width="14.140625" style="202" customWidth="1"/>
    <col min="13" max="13" width="13.85546875" style="202" bestFit="1" customWidth="1"/>
    <col min="14" max="15" width="15.28515625" bestFit="1" customWidth="1"/>
  </cols>
  <sheetData>
    <row r="1" spans="1:15" ht="16.5" thickBot="1">
      <c r="A1" s="94" t="s">
        <v>339</v>
      </c>
      <c r="B1" s="94" t="s">
        <v>340</v>
      </c>
      <c r="C1" s="94" t="s">
        <v>2026</v>
      </c>
      <c r="D1" s="94" t="s">
        <v>2027</v>
      </c>
      <c r="E1" s="94" t="s">
        <v>2028</v>
      </c>
      <c r="F1" s="94" t="s">
        <v>36</v>
      </c>
      <c r="G1" s="94" t="s">
        <v>2029</v>
      </c>
      <c r="H1" s="94" t="s">
        <v>2030</v>
      </c>
      <c r="I1" s="94" t="s">
        <v>1453</v>
      </c>
      <c r="J1" s="94" t="s">
        <v>38</v>
      </c>
      <c r="K1" s="94" t="s">
        <v>39</v>
      </c>
      <c r="L1" s="200" t="s">
        <v>40</v>
      </c>
      <c r="M1" s="200" t="s">
        <v>41</v>
      </c>
      <c r="N1" s="95" t="s">
        <v>42</v>
      </c>
      <c r="O1" s="95" t="s">
        <v>43</v>
      </c>
    </row>
    <row r="2" spans="1:15" ht="16.5" thickTop="1">
      <c r="A2" s="83">
        <v>499942</v>
      </c>
      <c r="B2" s="83">
        <v>107525</v>
      </c>
      <c r="C2" s="83" t="s">
        <v>1454</v>
      </c>
      <c r="D2" s="83"/>
      <c r="E2" s="83" t="s">
        <v>513</v>
      </c>
      <c r="F2" s="83" t="s">
        <v>6</v>
      </c>
      <c r="G2" s="83" t="s">
        <v>588</v>
      </c>
      <c r="H2" s="83" t="s">
        <v>587</v>
      </c>
      <c r="I2" s="83" t="s">
        <v>1574</v>
      </c>
      <c r="J2" s="83" t="s">
        <v>344</v>
      </c>
      <c r="K2" s="86" t="s">
        <v>46</v>
      </c>
      <c r="L2" s="201">
        <v>42248</v>
      </c>
      <c r="M2" s="201">
        <v>44651</v>
      </c>
      <c r="N2" s="84">
        <v>900000</v>
      </c>
      <c r="O2" s="84">
        <v>299970</v>
      </c>
    </row>
    <row r="3" spans="1:15" ht="15.75">
      <c r="A3" s="83">
        <v>500737</v>
      </c>
      <c r="B3" s="83">
        <v>107525</v>
      </c>
      <c r="C3" s="83" t="s">
        <v>2031</v>
      </c>
      <c r="D3" s="83"/>
      <c r="E3" s="83" t="s">
        <v>514</v>
      </c>
      <c r="F3" s="83" t="s">
        <v>6</v>
      </c>
      <c r="G3" s="83" t="s">
        <v>588</v>
      </c>
      <c r="H3" s="83" t="s">
        <v>587</v>
      </c>
      <c r="I3" s="83" t="s">
        <v>1574</v>
      </c>
      <c r="J3" s="83" t="s">
        <v>344</v>
      </c>
      <c r="K3" s="86" t="s">
        <v>46</v>
      </c>
      <c r="L3" s="201">
        <v>42248</v>
      </c>
      <c r="M3" s="201">
        <v>44651</v>
      </c>
      <c r="N3" s="84">
        <v>510000</v>
      </c>
      <c r="O3" s="84">
        <v>169983</v>
      </c>
    </row>
    <row r="4" spans="1:15" ht="15.75">
      <c r="A4" s="83">
        <v>502319</v>
      </c>
      <c r="B4" s="83">
        <v>208810</v>
      </c>
      <c r="C4" s="83" t="s">
        <v>2032</v>
      </c>
      <c r="D4" s="83"/>
      <c r="E4" s="83" t="s">
        <v>1034</v>
      </c>
      <c r="F4" s="83" t="s">
        <v>488</v>
      </c>
      <c r="G4" s="83" t="s">
        <v>1131</v>
      </c>
      <c r="H4" s="83" t="s">
        <v>1130</v>
      </c>
      <c r="I4" s="83" t="s">
        <v>1575</v>
      </c>
      <c r="J4" s="83" t="s">
        <v>1576</v>
      </c>
      <c r="K4" s="87" t="s">
        <v>53</v>
      </c>
      <c r="L4" s="201">
        <v>42826</v>
      </c>
      <c r="M4" s="201">
        <v>43921</v>
      </c>
      <c r="N4" s="84">
        <v>25000</v>
      </c>
      <c r="O4" s="84">
        <v>8332.5</v>
      </c>
    </row>
    <row r="5" spans="1:15" ht="15.75">
      <c r="A5" s="83">
        <v>502529</v>
      </c>
      <c r="B5" s="83">
        <v>210089</v>
      </c>
      <c r="C5" s="83" t="s">
        <v>2033</v>
      </c>
      <c r="D5" s="83"/>
      <c r="E5" s="83" t="s">
        <v>517</v>
      </c>
      <c r="F5" s="83" t="s">
        <v>488</v>
      </c>
      <c r="G5" s="83" t="s">
        <v>1237</v>
      </c>
      <c r="H5" s="83" t="s">
        <v>1236</v>
      </c>
      <c r="I5" s="83" t="s">
        <v>1577</v>
      </c>
      <c r="J5" s="83" t="s">
        <v>1578</v>
      </c>
      <c r="K5" s="87" t="s">
        <v>82</v>
      </c>
      <c r="L5" s="201">
        <v>42826</v>
      </c>
      <c r="M5" s="201">
        <v>43921</v>
      </c>
      <c r="N5" s="84">
        <v>50000</v>
      </c>
      <c r="O5" s="84">
        <v>16665</v>
      </c>
    </row>
    <row r="6" spans="1:15" ht="15.75">
      <c r="A6" s="83">
        <v>502531</v>
      </c>
      <c r="B6" s="83">
        <v>208620</v>
      </c>
      <c r="C6" s="83" t="s">
        <v>2034</v>
      </c>
      <c r="D6" s="83"/>
      <c r="E6" s="83" t="s">
        <v>517</v>
      </c>
      <c r="F6" s="83" t="s">
        <v>488</v>
      </c>
      <c r="G6" s="83" t="s">
        <v>1072</v>
      </c>
      <c r="H6" s="83" t="s">
        <v>1071</v>
      </c>
      <c r="I6" s="83" t="s">
        <v>1579</v>
      </c>
      <c r="J6" s="83" t="s">
        <v>1580</v>
      </c>
      <c r="K6" s="87" t="s">
        <v>82</v>
      </c>
      <c r="L6" s="201">
        <v>42826</v>
      </c>
      <c r="M6" s="201">
        <v>43921</v>
      </c>
      <c r="N6" s="84">
        <v>50000</v>
      </c>
      <c r="O6" s="84">
        <v>16665</v>
      </c>
    </row>
    <row r="7" spans="1:15" ht="15.75">
      <c r="A7" s="96">
        <v>502535</v>
      </c>
      <c r="B7" s="83">
        <v>208616</v>
      </c>
      <c r="C7" s="83" t="s">
        <v>1458</v>
      </c>
      <c r="D7" s="83"/>
      <c r="E7" s="83" t="s">
        <v>517</v>
      </c>
      <c r="F7" s="83" t="s">
        <v>488</v>
      </c>
      <c r="G7" s="83" t="s">
        <v>865</v>
      </c>
      <c r="H7" s="83" t="s">
        <v>1053</v>
      </c>
      <c r="I7" s="83" t="s">
        <v>1581</v>
      </c>
      <c r="J7" s="83" t="s">
        <v>489</v>
      </c>
      <c r="K7" s="86" t="s">
        <v>53</v>
      </c>
      <c r="L7" s="201">
        <v>43070</v>
      </c>
      <c r="M7" s="201">
        <v>44196</v>
      </c>
      <c r="N7" s="84">
        <v>50000</v>
      </c>
      <c r="O7" s="84">
        <v>16665</v>
      </c>
    </row>
    <row r="8" spans="1:15" ht="15.75">
      <c r="A8" s="83">
        <v>502553</v>
      </c>
      <c r="B8" s="83">
        <v>203770</v>
      </c>
      <c r="C8" s="83" t="s">
        <v>2035</v>
      </c>
      <c r="D8" s="83"/>
      <c r="E8" s="83" t="s">
        <v>517</v>
      </c>
      <c r="F8" s="83" t="s">
        <v>488</v>
      </c>
      <c r="G8" s="83" t="s">
        <v>678</v>
      </c>
      <c r="H8" s="83" t="s">
        <v>787</v>
      </c>
      <c r="I8" s="83" t="s">
        <v>1582</v>
      </c>
      <c r="J8" s="83" t="s">
        <v>1583</v>
      </c>
      <c r="K8" s="88" t="s">
        <v>46</v>
      </c>
      <c r="L8" s="201">
        <v>42826</v>
      </c>
      <c r="M8" s="201">
        <v>43921</v>
      </c>
      <c r="N8" s="84">
        <v>50000</v>
      </c>
      <c r="O8" s="84">
        <v>16665</v>
      </c>
    </row>
    <row r="9" spans="1:15" ht="15.75">
      <c r="A9" s="96">
        <v>504320</v>
      </c>
      <c r="B9" s="83">
        <v>205554</v>
      </c>
      <c r="C9" s="83" t="s">
        <v>1459</v>
      </c>
      <c r="D9" s="83"/>
      <c r="E9" s="83" t="s">
        <v>517</v>
      </c>
      <c r="F9" s="83" t="s">
        <v>488</v>
      </c>
      <c r="G9" s="83" t="s">
        <v>826</v>
      </c>
      <c r="H9" s="83" t="s">
        <v>825</v>
      </c>
      <c r="I9" s="83" t="s">
        <v>1584</v>
      </c>
      <c r="J9" s="83" t="s">
        <v>1585</v>
      </c>
      <c r="K9" s="88" t="s">
        <v>46</v>
      </c>
      <c r="L9" s="201">
        <v>43221</v>
      </c>
      <c r="M9" s="201">
        <v>44286</v>
      </c>
      <c r="N9" s="84">
        <v>50000</v>
      </c>
      <c r="O9" s="84">
        <v>16665</v>
      </c>
    </row>
    <row r="10" spans="1:15" ht="15.75">
      <c r="A10" s="96">
        <v>504321</v>
      </c>
      <c r="B10" s="89">
        <v>205839</v>
      </c>
      <c r="C10" s="89" t="s">
        <v>1460</v>
      </c>
      <c r="D10" s="89"/>
      <c r="E10" s="83" t="s">
        <v>517</v>
      </c>
      <c r="F10" s="83" t="s">
        <v>488</v>
      </c>
      <c r="G10" s="83" t="s">
        <v>843</v>
      </c>
      <c r="H10" s="89" t="s">
        <v>649</v>
      </c>
      <c r="I10" s="89" t="s">
        <v>1586</v>
      </c>
      <c r="J10" s="83" t="s">
        <v>1587</v>
      </c>
      <c r="K10" s="88" t="s">
        <v>46</v>
      </c>
      <c r="L10" s="201">
        <v>43191</v>
      </c>
      <c r="M10" s="201">
        <v>44286</v>
      </c>
      <c r="N10" s="84">
        <v>50000</v>
      </c>
      <c r="O10" s="84">
        <v>16665</v>
      </c>
    </row>
    <row r="11" spans="1:15" ht="15.75">
      <c r="A11" s="96">
        <v>504322</v>
      </c>
      <c r="B11" s="83">
        <v>205839</v>
      </c>
      <c r="C11" s="83" t="s">
        <v>2036</v>
      </c>
      <c r="D11" s="83"/>
      <c r="E11" s="83" t="s">
        <v>517</v>
      </c>
      <c r="F11" s="83" t="s">
        <v>488</v>
      </c>
      <c r="G11" s="83" t="s">
        <v>843</v>
      </c>
      <c r="H11" s="83" t="s">
        <v>649</v>
      </c>
      <c r="I11" s="83" t="s">
        <v>1586</v>
      </c>
      <c r="J11" s="83" t="s">
        <v>1588</v>
      </c>
      <c r="K11" s="83" t="s">
        <v>68</v>
      </c>
      <c r="L11" s="201">
        <v>43221</v>
      </c>
      <c r="M11" s="201">
        <v>44408</v>
      </c>
      <c r="N11" s="84">
        <v>50000</v>
      </c>
      <c r="O11" s="84">
        <v>16665</v>
      </c>
    </row>
    <row r="12" spans="1:15" ht="15.75">
      <c r="A12" s="83">
        <v>504334</v>
      </c>
      <c r="B12" s="83">
        <v>202019</v>
      </c>
      <c r="C12" s="83" t="s">
        <v>2037</v>
      </c>
      <c r="D12" s="83"/>
      <c r="E12" s="83" t="s">
        <v>19</v>
      </c>
      <c r="F12" s="83" t="s">
        <v>19</v>
      </c>
      <c r="G12" s="83" t="s">
        <v>722</v>
      </c>
      <c r="H12" s="83" t="s">
        <v>721</v>
      </c>
      <c r="I12" s="83" t="s">
        <v>1589</v>
      </c>
      <c r="J12" s="83" t="s">
        <v>1590</v>
      </c>
      <c r="K12" s="88" t="s">
        <v>46</v>
      </c>
      <c r="L12" s="201">
        <v>43191</v>
      </c>
      <c r="M12" s="201">
        <v>43921</v>
      </c>
      <c r="N12" s="84">
        <v>100000</v>
      </c>
      <c r="O12" s="84">
        <v>33330</v>
      </c>
    </row>
    <row r="13" spans="1:15" ht="15.75">
      <c r="A13" s="92">
        <v>504335</v>
      </c>
      <c r="B13" s="83">
        <v>203820</v>
      </c>
      <c r="C13" s="83" t="s">
        <v>2038</v>
      </c>
      <c r="D13" s="83"/>
      <c r="E13" s="83" t="s">
        <v>19</v>
      </c>
      <c r="F13" s="83" t="s">
        <v>19</v>
      </c>
      <c r="G13" s="83" t="s">
        <v>794</v>
      </c>
      <c r="H13" s="83" t="s">
        <v>793</v>
      </c>
      <c r="I13" s="83" t="s">
        <v>1591</v>
      </c>
      <c r="J13" s="83" t="s">
        <v>1592</v>
      </c>
      <c r="K13" s="88" t="s">
        <v>46</v>
      </c>
      <c r="L13" s="201">
        <v>43191</v>
      </c>
      <c r="M13" s="201">
        <v>44044</v>
      </c>
      <c r="N13" s="84">
        <v>41859</v>
      </c>
      <c r="O13" s="84">
        <v>13951.6047</v>
      </c>
    </row>
    <row r="14" spans="1:15" ht="15.75">
      <c r="A14" s="92">
        <v>504335</v>
      </c>
      <c r="B14" s="83">
        <v>208897</v>
      </c>
      <c r="C14" s="83" t="s">
        <v>2039</v>
      </c>
      <c r="D14" s="83"/>
      <c r="E14" s="83" t="s">
        <v>19</v>
      </c>
      <c r="F14" s="83" t="s">
        <v>19</v>
      </c>
      <c r="G14" s="83" t="s">
        <v>1152</v>
      </c>
      <c r="H14" s="83" t="s">
        <v>1151</v>
      </c>
      <c r="I14" s="83" t="s">
        <v>1593</v>
      </c>
      <c r="J14" s="83" t="s">
        <v>1594</v>
      </c>
      <c r="K14" s="88" t="s">
        <v>46</v>
      </c>
      <c r="L14" s="201">
        <v>43191</v>
      </c>
      <c r="M14" s="201">
        <v>44044</v>
      </c>
      <c r="N14" s="84">
        <v>58135</v>
      </c>
      <c r="O14" s="84">
        <v>19376.395499999999</v>
      </c>
    </row>
    <row r="15" spans="1:15" ht="15.75">
      <c r="A15" s="83">
        <v>504337</v>
      </c>
      <c r="B15" s="83">
        <v>205592</v>
      </c>
      <c r="C15" s="83" t="s">
        <v>2040</v>
      </c>
      <c r="D15" s="83"/>
      <c r="E15" s="83" t="s">
        <v>19</v>
      </c>
      <c r="F15" s="83" t="s">
        <v>19</v>
      </c>
      <c r="G15" s="83" t="s">
        <v>831</v>
      </c>
      <c r="H15" s="83" t="s">
        <v>830</v>
      </c>
      <c r="I15" s="83" t="s">
        <v>1595</v>
      </c>
      <c r="J15" s="83" t="s">
        <v>1596</v>
      </c>
      <c r="K15" s="88" t="s">
        <v>46</v>
      </c>
      <c r="L15" s="201">
        <v>43191</v>
      </c>
      <c r="M15" s="201">
        <v>44104</v>
      </c>
      <c r="N15" s="84">
        <v>74230</v>
      </c>
      <c r="O15" s="84">
        <v>24740.859</v>
      </c>
    </row>
    <row r="16" spans="1:15" ht="15.75">
      <c r="A16" s="83">
        <v>504337</v>
      </c>
      <c r="B16" s="83">
        <v>211478</v>
      </c>
      <c r="C16" s="83" t="s">
        <v>2041</v>
      </c>
      <c r="D16" s="83"/>
      <c r="E16" s="83" t="s">
        <v>19</v>
      </c>
      <c r="F16" s="83" t="s">
        <v>19</v>
      </c>
      <c r="G16" s="83" t="s">
        <v>1294</v>
      </c>
      <c r="H16" s="83" t="s">
        <v>1293</v>
      </c>
      <c r="I16" s="83" t="s">
        <v>1597</v>
      </c>
      <c r="J16" s="83" t="s">
        <v>1598</v>
      </c>
      <c r="K16" s="88" t="s">
        <v>46</v>
      </c>
      <c r="L16" s="201">
        <v>43191</v>
      </c>
      <c r="M16" s="201">
        <v>44104</v>
      </c>
      <c r="N16" s="84">
        <v>24370</v>
      </c>
      <c r="O16" s="84">
        <v>8122.5209999999997</v>
      </c>
    </row>
    <row r="17" spans="1:15" ht="15.75">
      <c r="A17" s="92">
        <v>504344</v>
      </c>
      <c r="B17" s="83">
        <v>211218</v>
      </c>
      <c r="C17" s="83" t="s">
        <v>2042</v>
      </c>
      <c r="D17" s="83"/>
      <c r="E17" s="83" t="s">
        <v>19</v>
      </c>
      <c r="F17" s="83" t="s">
        <v>19</v>
      </c>
      <c r="G17" s="83" t="s">
        <v>1276</v>
      </c>
      <c r="H17" s="83" t="s">
        <v>1275</v>
      </c>
      <c r="I17" s="83" t="s">
        <v>1599</v>
      </c>
      <c r="J17" s="83" t="s">
        <v>1600</v>
      </c>
      <c r="K17" s="87" t="s">
        <v>1277</v>
      </c>
      <c r="L17" s="201">
        <v>43191</v>
      </c>
      <c r="M17" s="201">
        <v>43921</v>
      </c>
      <c r="N17" s="84">
        <v>14227</v>
      </c>
      <c r="O17" s="84">
        <v>4741.8590999999997</v>
      </c>
    </row>
    <row r="18" spans="1:15" ht="15.75">
      <c r="A18" s="92">
        <v>504344</v>
      </c>
      <c r="B18" s="83">
        <v>211456</v>
      </c>
      <c r="C18" s="83" t="s">
        <v>2043</v>
      </c>
      <c r="D18" s="83"/>
      <c r="E18" s="83" t="s">
        <v>19</v>
      </c>
      <c r="F18" s="83" t="s">
        <v>19</v>
      </c>
      <c r="G18" s="83" t="s">
        <v>1290</v>
      </c>
      <c r="H18" s="83" t="s">
        <v>1289</v>
      </c>
      <c r="I18" s="83" t="s">
        <v>1601</v>
      </c>
      <c r="J18" s="83" t="s">
        <v>1602</v>
      </c>
      <c r="K18" s="87" t="s">
        <v>1277</v>
      </c>
      <c r="L18" s="201">
        <v>43191</v>
      </c>
      <c r="M18" s="201">
        <v>43921</v>
      </c>
      <c r="N18" s="84">
        <v>85210</v>
      </c>
      <c r="O18" s="84">
        <v>28400.492999999999</v>
      </c>
    </row>
    <row r="19" spans="1:15" ht="15.75">
      <c r="A19" s="96">
        <v>504839</v>
      </c>
      <c r="B19" s="90">
        <v>209210</v>
      </c>
      <c r="C19" s="90" t="s">
        <v>1462</v>
      </c>
      <c r="D19" s="90"/>
      <c r="E19" s="83" t="s">
        <v>518</v>
      </c>
      <c r="F19" s="83" t="s">
        <v>8</v>
      </c>
      <c r="G19" s="83" t="s">
        <v>1179</v>
      </c>
      <c r="H19" s="90" t="s">
        <v>1178</v>
      </c>
      <c r="I19" s="90" t="s">
        <v>1603</v>
      </c>
      <c r="J19" s="85" t="s">
        <v>1604</v>
      </c>
      <c r="K19" s="83" t="s">
        <v>68</v>
      </c>
      <c r="L19" s="201">
        <v>43070</v>
      </c>
      <c r="M19" s="201">
        <v>44530</v>
      </c>
      <c r="N19" s="84">
        <v>154500</v>
      </c>
      <c r="O19" s="84">
        <v>51494.85</v>
      </c>
    </row>
    <row r="20" spans="1:15" ht="15.75">
      <c r="A20" s="96">
        <v>504875</v>
      </c>
      <c r="B20" s="90">
        <v>209210</v>
      </c>
      <c r="C20" s="90" t="s">
        <v>1463</v>
      </c>
      <c r="D20" s="90"/>
      <c r="E20" s="83" t="s">
        <v>518</v>
      </c>
      <c r="F20" s="83" t="s">
        <v>8</v>
      </c>
      <c r="G20" s="83" t="s">
        <v>1179</v>
      </c>
      <c r="H20" s="90" t="s">
        <v>1178</v>
      </c>
      <c r="I20" s="90" t="s">
        <v>1603</v>
      </c>
      <c r="J20" s="85" t="s">
        <v>1605</v>
      </c>
      <c r="K20" s="83" t="s">
        <v>68</v>
      </c>
      <c r="L20" s="201">
        <v>43070</v>
      </c>
      <c r="M20" s="201">
        <v>44530</v>
      </c>
      <c r="N20" s="84">
        <v>710760</v>
      </c>
      <c r="O20" s="84">
        <v>236896.30799999999</v>
      </c>
    </row>
    <row r="21" spans="1:15" ht="15.75">
      <c r="A21" s="83">
        <v>504878</v>
      </c>
      <c r="B21" s="83">
        <v>209194</v>
      </c>
      <c r="C21" s="83" t="s">
        <v>2044</v>
      </c>
      <c r="D21" s="83"/>
      <c r="E21" s="83" t="s">
        <v>518</v>
      </c>
      <c r="F21" s="83" t="s">
        <v>8</v>
      </c>
      <c r="G21" s="83" t="s">
        <v>596</v>
      </c>
      <c r="H21" s="83" t="s">
        <v>595</v>
      </c>
      <c r="I21" s="83" t="s">
        <v>1606</v>
      </c>
      <c r="J21" s="85" t="s">
        <v>1607</v>
      </c>
      <c r="K21" s="88" t="s">
        <v>46</v>
      </c>
      <c r="L21" s="201">
        <v>43191</v>
      </c>
      <c r="M21" s="201">
        <v>43921</v>
      </c>
      <c r="N21" s="84">
        <v>55600</v>
      </c>
      <c r="O21" s="84">
        <v>18531.48</v>
      </c>
    </row>
    <row r="22" spans="1:15" ht="15.75">
      <c r="A22" s="96">
        <v>505062</v>
      </c>
      <c r="B22" s="83">
        <v>206247</v>
      </c>
      <c r="C22" s="83" t="s">
        <v>2045</v>
      </c>
      <c r="D22" s="83"/>
      <c r="E22" s="83" t="s">
        <v>517</v>
      </c>
      <c r="F22" s="83" t="s">
        <v>488</v>
      </c>
      <c r="G22" s="83" t="s">
        <v>892</v>
      </c>
      <c r="H22" s="83" t="s">
        <v>891</v>
      </c>
      <c r="I22" s="83" t="s">
        <v>1608</v>
      </c>
      <c r="J22" s="83" t="s">
        <v>173</v>
      </c>
      <c r="K22" s="88" t="s">
        <v>46</v>
      </c>
      <c r="L22" s="201">
        <v>43191</v>
      </c>
      <c r="M22" s="201">
        <v>43728</v>
      </c>
      <c r="N22" s="84">
        <v>34488.5</v>
      </c>
      <c r="O22" s="84">
        <v>11495.01705</v>
      </c>
    </row>
    <row r="23" spans="1:15" ht="15.75">
      <c r="A23" s="96">
        <v>505082</v>
      </c>
      <c r="B23" s="83">
        <v>212504</v>
      </c>
      <c r="C23" s="83" t="s">
        <v>1464</v>
      </c>
      <c r="D23" s="83"/>
      <c r="E23" s="83" t="s">
        <v>517</v>
      </c>
      <c r="F23" s="83" t="s">
        <v>488</v>
      </c>
      <c r="G23" s="83" t="s">
        <v>1355</v>
      </c>
      <c r="H23" s="83" t="s">
        <v>1354</v>
      </c>
      <c r="I23" s="83" t="s">
        <v>1609</v>
      </c>
      <c r="J23" s="83" t="s">
        <v>255</v>
      </c>
      <c r="K23" s="83" t="s">
        <v>68</v>
      </c>
      <c r="L23" s="201">
        <v>43191</v>
      </c>
      <c r="M23" s="201">
        <v>44286</v>
      </c>
      <c r="N23" s="84">
        <v>50000</v>
      </c>
      <c r="O23" s="84">
        <v>16665</v>
      </c>
    </row>
    <row r="24" spans="1:15" ht="15.75">
      <c r="A24" s="96">
        <v>505362</v>
      </c>
      <c r="B24" s="83">
        <v>209346</v>
      </c>
      <c r="C24" s="83" t="s">
        <v>1465</v>
      </c>
      <c r="D24" s="83"/>
      <c r="E24" s="83" t="s">
        <v>518</v>
      </c>
      <c r="F24" s="83" t="s">
        <v>8</v>
      </c>
      <c r="G24" s="83" t="s">
        <v>1190</v>
      </c>
      <c r="H24" s="83" t="s">
        <v>1189</v>
      </c>
      <c r="I24" s="83" t="s">
        <v>1610</v>
      </c>
      <c r="J24" s="83" t="s">
        <v>1611</v>
      </c>
      <c r="K24" s="86" t="s">
        <v>53</v>
      </c>
      <c r="L24" s="201">
        <v>43282</v>
      </c>
      <c r="M24" s="201">
        <v>44377</v>
      </c>
      <c r="N24" s="84">
        <v>150000</v>
      </c>
      <c r="O24" s="84">
        <v>49995</v>
      </c>
    </row>
    <row r="25" spans="1:15" ht="15.75">
      <c r="A25" s="96">
        <v>505749</v>
      </c>
      <c r="B25" s="83">
        <v>209403</v>
      </c>
      <c r="C25" s="83" t="s">
        <v>1466</v>
      </c>
      <c r="D25" s="83"/>
      <c r="E25" s="83" t="s">
        <v>518</v>
      </c>
      <c r="F25" s="83" t="s">
        <v>8</v>
      </c>
      <c r="G25" s="83" t="s">
        <v>1197</v>
      </c>
      <c r="H25" s="83" t="s">
        <v>1196</v>
      </c>
      <c r="I25" s="83" t="s">
        <v>1612</v>
      </c>
      <c r="J25" s="83" t="s">
        <v>1613</v>
      </c>
      <c r="K25" s="86" t="s">
        <v>53</v>
      </c>
      <c r="L25" s="201">
        <v>43313</v>
      </c>
      <c r="M25" s="201">
        <v>44408</v>
      </c>
      <c r="N25" s="84">
        <v>250000</v>
      </c>
      <c r="O25" s="84">
        <v>83325</v>
      </c>
    </row>
    <row r="26" spans="1:15" ht="15.75">
      <c r="A26" s="96">
        <v>506448</v>
      </c>
      <c r="B26" s="83">
        <v>208217</v>
      </c>
      <c r="C26" s="83" t="s">
        <v>1467</v>
      </c>
      <c r="D26" s="83"/>
      <c r="E26" s="83" t="s">
        <v>517</v>
      </c>
      <c r="F26" s="83" t="s">
        <v>488</v>
      </c>
      <c r="G26" s="83" t="s">
        <v>989</v>
      </c>
      <c r="H26" s="83" t="s">
        <v>988</v>
      </c>
      <c r="I26" s="83" t="s">
        <v>1614</v>
      </c>
      <c r="J26" s="83" t="s">
        <v>1615</v>
      </c>
      <c r="K26" s="88" t="s">
        <v>46</v>
      </c>
      <c r="L26" s="201">
        <v>43556</v>
      </c>
      <c r="M26" s="201">
        <v>44286</v>
      </c>
      <c r="N26" s="84">
        <v>50000</v>
      </c>
      <c r="O26" s="84">
        <v>16665</v>
      </c>
    </row>
    <row r="27" spans="1:15" ht="15.75">
      <c r="A27" s="96">
        <v>506449</v>
      </c>
      <c r="B27" s="83">
        <v>203820</v>
      </c>
      <c r="C27" s="83" t="s">
        <v>1468</v>
      </c>
      <c r="D27" s="83"/>
      <c r="E27" s="83" t="s">
        <v>517</v>
      </c>
      <c r="F27" s="83" t="s">
        <v>488</v>
      </c>
      <c r="G27" s="83" t="s">
        <v>794</v>
      </c>
      <c r="H27" s="83" t="s">
        <v>793</v>
      </c>
      <c r="I27" s="83" t="s">
        <v>1591</v>
      </c>
      <c r="J27" s="83" t="s">
        <v>1616</v>
      </c>
      <c r="K27" s="88" t="s">
        <v>46</v>
      </c>
      <c r="L27" s="201">
        <v>43556</v>
      </c>
      <c r="M27" s="201">
        <v>44286</v>
      </c>
      <c r="N27" s="84">
        <v>50000</v>
      </c>
      <c r="O27" s="84">
        <v>16665</v>
      </c>
    </row>
    <row r="28" spans="1:15" ht="15.75">
      <c r="A28" s="96">
        <v>506450</v>
      </c>
      <c r="B28" s="83">
        <v>208620</v>
      </c>
      <c r="C28" s="83" t="s">
        <v>1469</v>
      </c>
      <c r="D28" s="83"/>
      <c r="E28" s="83" t="s">
        <v>517</v>
      </c>
      <c r="F28" s="83" t="s">
        <v>488</v>
      </c>
      <c r="G28" s="83" t="s">
        <v>1072</v>
      </c>
      <c r="H28" s="83" t="s">
        <v>1071</v>
      </c>
      <c r="I28" s="83" t="s">
        <v>1579</v>
      </c>
      <c r="J28" s="83" t="s">
        <v>1617</v>
      </c>
      <c r="K28" s="86" t="s">
        <v>82</v>
      </c>
      <c r="L28" s="201">
        <v>43556</v>
      </c>
      <c r="M28" s="201">
        <v>44651</v>
      </c>
      <c r="N28" s="84">
        <v>50000</v>
      </c>
      <c r="O28" s="84">
        <v>16665</v>
      </c>
    </row>
    <row r="29" spans="1:15" ht="15.75">
      <c r="A29" s="96">
        <v>506451</v>
      </c>
      <c r="B29" s="83">
        <v>207233</v>
      </c>
      <c r="C29" s="83" t="s">
        <v>1470</v>
      </c>
      <c r="D29" s="83"/>
      <c r="E29" s="83" t="s">
        <v>517</v>
      </c>
      <c r="F29" s="83" t="s">
        <v>488</v>
      </c>
      <c r="G29" s="83" t="s">
        <v>945</v>
      </c>
      <c r="H29" s="83" t="s">
        <v>944</v>
      </c>
      <c r="I29" s="83" t="s">
        <v>1618</v>
      </c>
      <c r="J29" s="83" t="s">
        <v>1619</v>
      </c>
      <c r="K29" s="88" t="s">
        <v>46</v>
      </c>
      <c r="L29" s="201">
        <v>43556</v>
      </c>
      <c r="M29" s="201">
        <v>44651</v>
      </c>
      <c r="N29" s="84">
        <v>50000</v>
      </c>
      <c r="O29" s="84">
        <v>16665</v>
      </c>
    </row>
    <row r="30" spans="1:15" ht="15.75">
      <c r="A30" s="83">
        <v>506456</v>
      </c>
      <c r="B30" s="83">
        <v>207032</v>
      </c>
      <c r="C30" s="83" t="s">
        <v>1471</v>
      </c>
      <c r="D30" s="83"/>
      <c r="E30" s="83" t="s">
        <v>19</v>
      </c>
      <c r="F30" s="83" t="s">
        <v>19</v>
      </c>
      <c r="G30" s="83" t="s">
        <v>917</v>
      </c>
      <c r="H30" s="83" t="s">
        <v>916</v>
      </c>
      <c r="I30" s="83" t="s">
        <v>1620</v>
      </c>
      <c r="J30" s="83" t="s">
        <v>1621</v>
      </c>
      <c r="K30" s="88" t="s">
        <v>46</v>
      </c>
      <c r="L30" s="201">
        <v>43556</v>
      </c>
      <c r="M30" s="201">
        <v>44561</v>
      </c>
      <c r="N30" s="84">
        <v>50000</v>
      </c>
      <c r="O30" s="84">
        <v>16665</v>
      </c>
    </row>
    <row r="31" spans="1:15" ht="15.75">
      <c r="A31" s="83">
        <v>506456</v>
      </c>
      <c r="B31" s="83">
        <v>209438</v>
      </c>
      <c r="C31" s="83" t="s">
        <v>1472</v>
      </c>
      <c r="D31" s="83"/>
      <c r="E31" s="83" t="s">
        <v>19</v>
      </c>
      <c r="F31" s="83" t="s">
        <v>19</v>
      </c>
      <c r="G31" s="83" t="s">
        <v>615</v>
      </c>
      <c r="H31" s="83" t="s">
        <v>614</v>
      </c>
      <c r="I31" s="83" t="s">
        <v>1622</v>
      </c>
      <c r="J31" s="83" t="s">
        <v>86</v>
      </c>
      <c r="K31" s="88" t="s">
        <v>46</v>
      </c>
      <c r="L31" s="201">
        <v>43556</v>
      </c>
      <c r="M31" s="201">
        <v>44561</v>
      </c>
      <c r="N31" s="84">
        <v>50000</v>
      </c>
      <c r="O31" s="84">
        <v>16665</v>
      </c>
    </row>
    <row r="32" spans="1:15" ht="15.75">
      <c r="A32" s="83">
        <v>506457</v>
      </c>
      <c r="B32" s="83">
        <v>208406</v>
      </c>
      <c r="C32" s="83" t="s">
        <v>1473</v>
      </c>
      <c r="D32" s="83"/>
      <c r="E32" s="83" t="s">
        <v>19</v>
      </c>
      <c r="F32" s="83" t="s">
        <v>19</v>
      </c>
      <c r="G32" s="83" t="s">
        <v>1008</v>
      </c>
      <c r="H32" s="83" t="s">
        <v>1007</v>
      </c>
      <c r="I32" s="83" t="s">
        <v>1623</v>
      </c>
      <c r="J32" s="83" t="s">
        <v>1006</v>
      </c>
      <c r="K32" s="83" t="s">
        <v>68</v>
      </c>
      <c r="L32" s="201">
        <v>43556</v>
      </c>
      <c r="M32" s="201">
        <v>44377</v>
      </c>
      <c r="N32" s="84">
        <v>25000</v>
      </c>
      <c r="O32" s="84">
        <v>8332.5</v>
      </c>
    </row>
    <row r="33" spans="1:15" ht="15.75">
      <c r="A33" s="83">
        <v>506457</v>
      </c>
      <c r="B33" s="83">
        <v>212361</v>
      </c>
      <c r="C33" s="83" t="s">
        <v>1474</v>
      </c>
      <c r="D33" s="83"/>
      <c r="E33" s="83" t="s">
        <v>19</v>
      </c>
      <c r="F33" s="83" t="s">
        <v>19</v>
      </c>
      <c r="G33" s="83" t="s">
        <v>1346</v>
      </c>
      <c r="H33" s="83" t="s">
        <v>1345</v>
      </c>
      <c r="I33" s="83" t="s">
        <v>1624</v>
      </c>
      <c r="J33" s="83" t="s">
        <v>268</v>
      </c>
      <c r="K33" s="88" t="s">
        <v>46</v>
      </c>
      <c r="L33" s="201">
        <v>43556</v>
      </c>
      <c r="M33" s="201">
        <v>44377</v>
      </c>
      <c r="N33" s="84">
        <v>75000</v>
      </c>
      <c r="O33" s="84">
        <v>24997.5</v>
      </c>
    </row>
    <row r="34" spans="1:15" ht="15.75">
      <c r="A34" s="83">
        <v>506458</v>
      </c>
      <c r="B34" s="83">
        <v>205547</v>
      </c>
      <c r="C34" s="83" t="s">
        <v>1475</v>
      </c>
      <c r="D34" s="83"/>
      <c r="E34" s="83" t="s">
        <v>19</v>
      </c>
      <c r="F34" s="83" t="s">
        <v>19</v>
      </c>
      <c r="G34" s="83" t="s">
        <v>817</v>
      </c>
      <c r="H34" s="83" t="s">
        <v>816</v>
      </c>
      <c r="I34" s="83" t="s">
        <v>1625</v>
      </c>
      <c r="J34" s="83" t="s">
        <v>96</v>
      </c>
      <c r="K34" s="88" t="s">
        <v>46</v>
      </c>
      <c r="L34" s="201">
        <v>43556</v>
      </c>
      <c r="M34" s="201">
        <v>44377</v>
      </c>
      <c r="N34" s="84">
        <v>26980</v>
      </c>
      <c r="O34" s="84">
        <v>8992.4339999999993</v>
      </c>
    </row>
    <row r="35" spans="1:15" ht="15.75">
      <c r="A35" s="83">
        <v>506458</v>
      </c>
      <c r="B35" s="83">
        <v>212183</v>
      </c>
      <c r="C35" s="83" t="s">
        <v>1476</v>
      </c>
      <c r="D35" s="83"/>
      <c r="E35" s="83" t="s">
        <v>19</v>
      </c>
      <c r="F35" s="83" t="s">
        <v>19</v>
      </c>
      <c r="G35" s="83" t="s">
        <v>1331</v>
      </c>
      <c r="H35" s="83" t="s">
        <v>1330</v>
      </c>
      <c r="I35" s="83" t="s">
        <v>1626</v>
      </c>
      <c r="J35" s="83" t="s">
        <v>94</v>
      </c>
      <c r="K35" s="83" t="s">
        <v>68</v>
      </c>
      <c r="L35" s="201">
        <v>43556</v>
      </c>
      <c r="M35" s="201">
        <v>44377</v>
      </c>
      <c r="N35" s="84">
        <v>71385</v>
      </c>
      <c r="O35" s="84">
        <v>23792.620499999997</v>
      </c>
    </row>
    <row r="36" spans="1:15" ht="15.75">
      <c r="A36" s="83">
        <v>506459</v>
      </c>
      <c r="B36" s="83">
        <v>205993</v>
      </c>
      <c r="C36" s="83" t="s">
        <v>1477</v>
      </c>
      <c r="D36" s="83"/>
      <c r="E36" s="83" t="s">
        <v>19</v>
      </c>
      <c r="F36" s="83" t="s">
        <v>19</v>
      </c>
      <c r="G36" s="83" t="s">
        <v>856</v>
      </c>
      <c r="H36" s="83" t="s">
        <v>855</v>
      </c>
      <c r="I36" s="83" t="s">
        <v>1627</v>
      </c>
      <c r="J36" s="83" t="s">
        <v>854</v>
      </c>
      <c r="K36" s="88" t="s">
        <v>46</v>
      </c>
      <c r="L36" s="201">
        <v>43556</v>
      </c>
      <c r="M36" s="201">
        <v>44377</v>
      </c>
      <c r="N36" s="84">
        <v>36000</v>
      </c>
      <c r="O36" s="84">
        <v>11998.8</v>
      </c>
    </row>
    <row r="37" spans="1:15" ht="15.75">
      <c r="A37" s="83">
        <v>506459</v>
      </c>
      <c r="B37" s="83">
        <v>208379</v>
      </c>
      <c r="C37" s="83" t="s">
        <v>1478</v>
      </c>
      <c r="D37" s="83"/>
      <c r="E37" s="83" t="s">
        <v>19</v>
      </c>
      <c r="F37" s="83" t="s">
        <v>19</v>
      </c>
      <c r="G37" s="83" t="s">
        <v>1002</v>
      </c>
      <c r="H37" s="83" t="s">
        <v>1001</v>
      </c>
      <c r="I37" s="83" t="s">
        <v>1628</v>
      </c>
      <c r="J37" s="83" t="s">
        <v>1629</v>
      </c>
      <c r="K37" s="88" t="s">
        <v>46</v>
      </c>
      <c r="L37" s="201">
        <v>43556</v>
      </c>
      <c r="M37" s="201">
        <v>44377</v>
      </c>
      <c r="N37" s="84">
        <v>46500</v>
      </c>
      <c r="O37" s="84">
        <v>15498.449999999999</v>
      </c>
    </row>
    <row r="38" spans="1:15" ht="15.75">
      <c r="A38" s="83">
        <v>506459</v>
      </c>
      <c r="B38" s="83">
        <v>208617</v>
      </c>
      <c r="C38" s="83" t="s">
        <v>1480</v>
      </c>
      <c r="D38" s="83"/>
      <c r="E38" s="83" t="s">
        <v>19</v>
      </c>
      <c r="F38" s="83" t="s">
        <v>19</v>
      </c>
      <c r="G38" s="83" t="s">
        <v>1061</v>
      </c>
      <c r="H38" s="83" t="s">
        <v>1060</v>
      </c>
      <c r="I38" s="83" t="s">
        <v>1630</v>
      </c>
      <c r="J38" s="83" t="s">
        <v>1059</v>
      </c>
      <c r="K38" s="83" t="s">
        <v>68</v>
      </c>
      <c r="L38" s="201">
        <v>43556</v>
      </c>
      <c r="M38" s="201">
        <v>44377</v>
      </c>
      <c r="N38" s="84">
        <v>30000</v>
      </c>
      <c r="O38" s="84">
        <v>9999</v>
      </c>
    </row>
    <row r="39" spans="1:15" ht="15.75">
      <c r="A39" s="83">
        <v>506472</v>
      </c>
      <c r="B39" s="83">
        <v>200011</v>
      </c>
      <c r="C39" s="83" t="s">
        <v>2046</v>
      </c>
      <c r="D39" s="83"/>
      <c r="E39" s="83" t="s">
        <v>19</v>
      </c>
      <c r="F39" s="83" t="s">
        <v>19</v>
      </c>
      <c r="G39" s="83" t="s">
        <v>627</v>
      </c>
      <c r="H39" s="83" t="s">
        <v>626</v>
      </c>
      <c r="I39" s="83" t="s">
        <v>1631</v>
      </c>
      <c r="J39" s="83" t="s">
        <v>625</v>
      </c>
      <c r="K39" s="83" t="s">
        <v>53</v>
      </c>
      <c r="L39" s="201">
        <v>43556</v>
      </c>
      <c r="M39" s="201">
        <v>43921</v>
      </c>
      <c r="N39" s="84">
        <v>41091</v>
      </c>
      <c r="O39" s="84">
        <v>13695.630299999999</v>
      </c>
    </row>
    <row r="40" spans="1:15" ht="15.75">
      <c r="A40" s="83">
        <v>506472</v>
      </c>
      <c r="B40" s="83">
        <v>200612</v>
      </c>
      <c r="C40" s="83" t="s">
        <v>2047</v>
      </c>
      <c r="D40" s="83"/>
      <c r="E40" s="83" t="s">
        <v>19</v>
      </c>
      <c r="F40" s="83" t="s">
        <v>19</v>
      </c>
      <c r="G40" s="83" t="s">
        <v>678</v>
      </c>
      <c r="H40" s="83" t="s">
        <v>677</v>
      </c>
      <c r="I40" s="83" t="s">
        <v>1632</v>
      </c>
      <c r="J40" s="83" t="s">
        <v>676</v>
      </c>
      <c r="K40" s="83" t="s">
        <v>53</v>
      </c>
      <c r="L40" s="201">
        <v>43556</v>
      </c>
      <c r="M40" s="201">
        <v>43921</v>
      </c>
      <c r="N40" s="84">
        <v>21934</v>
      </c>
      <c r="O40" s="84">
        <v>7310.6021999999994</v>
      </c>
    </row>
    <row r="41" spans="1:15" ht="15.75">
      <c r="A41" s="83">
        <v>506472</v>
      </c>
      <c r="B41" s="83">
        <v>211172</v>
      </c>
      <c r="C41" s="83" t="s">
        <v>2048</v>
      </c>
      <c r="D41" s="83"/>
      <c r="E41" s="83" t="s">
        <v>19</v>
      </c>
      <c r="F41" s="83" t="s">
        <v>19</v>
      </c>
      <c r="G41" s="83" t="s">
        <v>1268</v>
      </c>
      <c r="H41" s="83" t="s">
        <v>1267</v>
      </c>
      <c r="I41" s="83" t="s">
        <v>1633</v>
      </c>
      <c r="J41" s="83" t="s">
        <v>1266</v>
      </c>
      <c r="K41" s="88" t="s">
        <v>46</v>
      </c>
      <c r="L41" s="201">
        <v>43556</v>
      </c>
      <c r="M41" s="201">
        <v>43921</v>
      </c>
      <c r="N41" s="84">
        <v>11975</v>
      </c>
      <c r="O41" s="84">
        <v>3991.2674999999999</v>
      </c>
    </row>
    <row r="42" spans="1:15" ht="15.75">
      <c r="A42" s="83">
        <v>506473</v>
      </c>
      <c r="B42" s="83">
        <v>209346</v>
      </c>
      <c r="C42" s="83" t="s">
        <v>2049</v>
      </c>
      <c r="D42" s="83"/>
      <c r="E42" s="83" t="s">
        <v>19</v>
      </c>
      <c r="F42" s="83" t="s">
        <v>19</v>
      </c>
      <c r="G42" s="83" t="s">
        <v>1190</v>
      </c>
      <c r="H42" s="83" t="s">
        <v>1189</v>
      </c>
      <c r="I42" s="83" t="s">
        <v>1610</v>
      </c>
      <c r="J42" s="83" t="s">
        <v>130</v>
      </c>
      <c r="K42" s="83" t="s">
        <v>53</v>
      </c>
      <c r="L42" s="201">
        <v>43556</v>
      </c>
      <c r="M42" s="201">
        <v>43921</v>
      </c>
      <c r="N42" s="84">
        <v>75000</v>
      </c>
      <c r="O42" s="84">
        <v>24997.5</v>
      </c>
    </row>
    <row r="43" spans="1:15" ht="15.75">
      <c r="A43" s="83">
        <v>506475</v>
      </c>
      <c r="B43" s="83">
        <v>208636</v>
      </c>
      <c r="C43" s="83" t="s">
        <v>2050</v>
      </c>
      <c r="D43" s="83"/>
      <c r="E43" s="83" t="s">
        <v>19</v>
      </c>
      <c r="F43" s="83" t="s">
        <v>19</v>
      </c>
      <c r="G43" s="83" t="s">
        <v>1097</v>
      </c>
      <c r="H43" s="83" t="s">
        <v>1096</v>
      </c>
      <c r="I43" s="83" t="s">
        <v>1634</v>
      </c>
      <c r="J43" s="83" t="s">
        <v>1095</v>
      </c>
      <c r="K43" s="83" t="s">
        <v>75</v>
      </c>
      <c r="L43" s="201">
        <v>43556</v>
      </c>
      <c r="M43" s="201">
        <v>43921</v>
      </c>
      <c r="N43" s="84">
        <v>75000</v>
      </c>
      <c r="O43" s="84">
        <v>24997.5</v>
      </c>
    </row>
    <row r="44" spans="1:15" ht="15.75">
      <c r="A44" s="83">
        <v>506485</v>
      </c>
      <c r="B44" s="83">
        <v>205554</v>
      </c>
      <c r="C44" s="83" t="s">
        <v>2051</v>
      </c>
      <c r="D44" s="83"/>
      <c r="E44" s="83" t="s">
        <v>521</v>
      </c>
      <c r="F44" s="83" t="s">
        <v>341</v>
      </c>
      <c r="G44" s="83" t="s">
        <v>826</v>
      </c>
      <c r="H44" s="83" t="s">
        <v>825</v>
      </c>
      <c r="I44" s="83" t="s">
        <v>1584</v>
      </c>
      <c r="J44" s="83" t="s">
        <v>824</v>
      </c>
      <c r="K44" s="86" t="s">
        <v>46</v>
      </c>
      <c r="L44" s="201">
        <v>43466</v>
      </c>
      <c r="M44" s="201">
        <v>44347</v>
      </c>
      <c r="N44" s="84">
        <v>10000</v>
      </c>
      <c r="O44" s="84">
        <v>3333</v>
      </c>
    </row>
    <row r="45" spans="1:15" ht="15.75">
      <c r="A45" s="83">
        <v>506485</v>
      </c>
      <c r="B45" s="83">
        <v>209461</v>
      </c>
      <c r="C45" s="83" t="s">
        <v>2052</v>
      </c>
      <c r="D45" s="83"/>
      <c r="E45" s="83" t="s">
        <v>521</v>
      </c>
      <c r="F45" s="83" t="s">
        <v>341</v>
      </c>
      <c r="G45" s="83" t="s">
        <v>1203</v>
      </c>
      <c r="H45" s="83" t="s">
        <v>1202</v>
      </c>
      <c r="I45" s="83" t="s">
        <v>1635</v>
      </c>
      <c r="J45" s="83" t="s">
        <v>1201</v>
      </c>
      <c r="K45" s="86" t="s">
        <v>53</v>
      </c>
      <c r="L45" s="201">
        <v>43466</v>
      </c>
      <c r="M45" s="201">
        <v>44347</v>
      </c>
      <c r="N45" s="84">
        <v>15000</v>
      </c>
      <c r="O45" s="84">
        <v>4999.5</v>
      </c>
    </row>
    <row r="46" spans="1:15" ht="15.75">
      <c r="A46" s="83">
        <v>506682</v>
      </c>
      <c r="B46" s="83">
        <v>213061</v>
      </c>
      <c r="C46" s="83" t="s">
        <v>2053</v>
      </c>
      <c r="D46" s="83"/>
      <c r="E46" s="83" t="s">
        <v>19</v>
      </c>
      <c r="F46" s="83" t="s">
        <v>19</v>
      </c>
      <c r="G46" s="83" t="s">
        <v>1406</v>
      </c>
      <c r="H46" s="83" t="s">
        <v>1405</v>
      </c>
      <c r="I46" s="83" t="s">
        <v>1636</v>
      </c>
      <c r="J46" s="83" t="s">
        <v>1637</v>
      </c>
      <c r="K46" s="86" t="s">
        <v>82</v>
      </c>
      <c r="L46" s="201">
        <v>43556</v>
      </c>
      <c r="M46" s="201">
        <v>43921</v>
      </c>
      <c r="N46" s="84">
        <v>75000</v>
      </c>
      <c r="O46" s="84">
        <v>24997.5</v>
      </c>
    </row>
    <row r="47" spans="1:15" ht="15.75">
      <c r="A47" s="83">
        <v>506754</v>
      </c>
      <c r="B47" s="83">
        <v>203770</v>
      </c>
      <c r="C47" s="83" t="s">
        <v>2054</v>
      </c>
      <c r="D47" s="83"/>
      <c r="E47" s="83" t="s">
        <v>19</v>
      </c>
      <c r="F47" s="83" t="s">
        <v>19</v>
      </c>
      <c r="G47" s="83" t="s">
        <v>678</v>
      </c>
      <c r="H47" s="83" t="s">
        <v>787</v>
      </c>
      <c r="I47" s="83" t="s">
        <v>1582</v>
      </c>
      <c r="J47" s="83" t="s">
        <v>258</v>
      </c>
      <c r="K47" s="83" t="s">
        <v>260</v>
      </c>
      <c r="L47" s="201">
        <v>43556</v>
      </c>
      <c r="M47" s="201">
        <v>43921</v>
      </c>
      <c r="N47" s="84">
        <v>37500</v>
      </c>
      <c r="O47" s="84">
        <v>12498.75</v>
      </c>
    </row>
    <row r="48" spans="1:15" ht="15.75">
      <c r="A48" s="83">
        <v>506754</v>
      </c>
      <c r="B48" s="83">
        <v>207378</v>
      </c>
      <c r="C48" s="83" t="s">
        <v>2055</v>
      </c>
      <c r="D48" s="83"/>
      <c r="E48" s="83" t="s">
        <v>19</v>
      </c>
      <c r="F48" s="83" t="s">
        <v>19</v>
      </c>
      <c r="G48" s="83" t="s">
        <v>957</v>
      </c>
      <c r="H48" s="83" t="s">
        <v>956</v>
      </c>
      <c r="I48" s="83" t="s">
        <v>1638</v>
      </c>
      <c r="J48" s="83" t="s">
        <v>1639</v>
      </c>
      <c r="K48" s="88" t="s">
        <v>46</v>
      </c>
      <c r="L48" s="201">
        <v>43556</v>
      </c>
      <c r="M48" s="201">
        <v>43921</v>
      </c>
      <c r="N48" s="84">
        <v>37500</v>
      </c>
      <c r="O48" s="84">
        <v>12498.75</v>
      </c>
    </row>
    <row r="49" spans="1:15" ht="15.75">
      <c r="A49" s="83">
        <v>507637</v>
      </c>
      <c r="B49" s="83">
        <v>206014</v>
      </c>
      <c r="C49" s="83" t="s">
        <v>1481</v>
      </c>
      <c r="D49" s="83"/>
      <c r="E49" s="83" t="s">
        <v>519</v>
      </c>
      <c r="F49" s="83" t="s">
        <v>353</v>
      </c>
      <c r="G49" s="83" t="s">
        <v>862</v>
      </c>
      <c r="H49" s="83" t="s">
        <v>861</v>
      </c>
      <c r="I49" s="83" t="s">
        <v>1640</v>
      </c>
      <c r="J49" s="83" t="s">
        <v>354</v>
      </c>
      <c r="K49" s="88" t="s">
        <v>46</v>
      </c>
      <c r="L49" s="201">
        <v>43709</v>
      </c>
      <c r="M49" s="201">
        <v>44530</v>
      </c>
      <c r="N49" s="84">
        <v>40800</v>
      </c>
      <c r="O49" s="84">
        <v>13598.64</v>
      </c>
    </row>
    <row r="50" spans="1:15" ht="15.75">
      <c r="A50" s="83">
        <v>507637</v>
      </c>
      <c r="B50" s="83">
        <v>207636</v>
      </c>
      <c r="C50" s="83" t="s">
        <v>1482</v>
      </c>
      <c r="D50" s="83"/>
      <c r="E50" s="83" t="s">
        <v>519</v>
      </c>
      <c r="F50" s="83" t="s">
        <v>353</v>
      </c>
      <c r="G50" s="83" t="s">
        <v>980</v>
      </c>
      <c r="H50" s="83" t="s">
        <v>979</v>
      </c>
      <c r="I50" s="83" t="s">
        <v>1641</v>
      </c>
      <c r="J50" s="83" t="s">
        <v>1642</v>
      </c>
      <c r="K50" s="88" t="s">
        <v>46</v>
      </c>
      <c r="L50" s="201">
        <v>43709</v>
      </c>
      <c r="M50" s="201">
        <v>44530</v>
      </c>
      <c r="N50" s="84">
        <v>85000</v>
      </c>
      <c r="O50" s="84">
        <v>28330.5</v>
      </c>
    </row>
    <row r="51" spans="1:15" ht="15.75">
      <c r="A51" s="83">
        <v>507637</v>
      </c>
      <c r="B51" s="83">
        <v>208625</v>
      </c>
      <c r="C51" s="83" t="s">
        <v>1483</v>
      </c>
      <c r="D51" s="83"/>
      <c r="E51" s="83" t="s">
        <v>519</v>
      </c>
      <c r="F51" s="83" t="s">
        <v>353</v>
      </c>
      <c r="G51" s="83" t="s">
        <v>1077</v>
      </c>
      <c r="H51" s="83" t="s">
        <v>1076</v>
      </c>
      <c r="I51" s="83" t="s">
        <v>1643</v>
      </c>
      <c r="J51" s="83" t="s">
        <v>366</v>
      </c>
      <c r="K51" s="86" t="s">
        <v>53</v>
      </c>
      <c r="L51" s="201">
        <v>43709</v>
      </c>
      <c r="M51" s="201">
        <v>44530</v>
      </c>
      <c r="N51" s="84">
        <v>63750</v>
      </c>
      <c r="O51" s="84">
        <v>21247.875</v>
      </c>
    </row>
    <row r="52" spans="1:15" ht="15.75">
      <c r="A52" s="83">
        <v>507637</v>
      </c>
      <c r="B52" s="83">
        <v>208728</v>
      </c>
      <c r="C52" s="83" t="s">
        <v>1484</v>
      </c>
      <c r="D52" s="83"/>
      <c r="E52" s="83" t="s">
        <v>519</v>
      </c>
      <c r="F52" s="83" t="s">
        <v>353</v>
      </c>
      <c r="G52" s="83" t="s">
        <v>608</v>
      </c>
      <c r="H52" s="83" t="s">
        <v>1108</v>
      </c>
      <c r="I52" s="83" t="s">
        <v>1644</v>
      </c>
      <c r="J52" s="83" t="s">
        <v>1645</v>
      </c>
      <c r="K52" s="86" t="s">
        <v>53</v>
      </c>
      <c r="L52" s="201">
        <v>43709</v>
      </c>
      <c r="M52" s="201">
        <v>44530</v>
      </c>
      <c r="N52" s="84">
        <v>378100</v>
      </c>
      <c r="O52" s="84">
        <v>126020.73</v>
      </c>
    </row>
    <row r="53" spans="1:15" ht="15.75">
      <c r="A53" s="83">
        <v>507637</v>
      </c>
      <c r="B53" s="83">
        <v>209491</v>
      </c>
      <c r="C53" s="83" t="s">
        <v>1485</v>
      </c>
      <c r="D53" s="83"/>
      <c r="E53" s="83" t="s">
        <v>519</v>
      </c>
      <c r="F53" s="83" t="s">
        <v>353</v>
      </c>
      <c r="G53" s="83" t="s">
        <v>1209</v>
      </c>
      <c r="H53" s="83" t="s">
        <v>1208</v>
      </c>
      <c r="I53" s="83" t="s">
        <v>1646</v>
      </c>
      <c r="J53" s="83" t="s">
        <v>1647</v>
      </c>
      <c r="K53" s="86" t="s">
        <v>75</v>
      </c>
      <c r="L53" s="201">
        <v>43709</v>
      </c>
      <c r="M53" s="201">
        <v>44530</v>
      </c>
      <c r="N53" s="84">
        <v>153000</v>
      </c>
      <c r="O53" s="84">
        <v>50994.899999999994</v>
      </c>
    </row>
    <row r="54" spans="1:15" ht="15.75">
      <c r="A54" s="83">
        <v>507637</v>
      </c>
      <c r="B54" s="83">
        <v>209660</v>
      </c>
      <c r="C54" s="83" t="s">
        <v>1486</v>
      </c>
      <c r="D54" s="83"/>
      <c r="E54" s="83" t="s">
        <v>519</v>
      </c>
      <c r="F54" s="83" t="s">
        <v>353</v>
      </c>
      <c r="G54" s="83" t="s">
        <v>1212</v>
      </c>
      <c r="H54" s="83" t="s">
        <v>1211</v>
      </c>
      <c r="I54" s="83" t="s">
        <v>1648</v>
      </c>
      <c r="J54" s="83" t="s">
        <v>360</v>
      </c>
      <c r="K54" s="86" t="s">
        <v>68</v>
      </c>
      <c r="L54" s="201">
        <v>43709</v>
      </c>
      <c r="M54" s="201">
        <v>44530</v>
      </c>
      <c r="N54" s="84">
        <v>74800</v>
      </c>
      <c r="O54" s="84">
        <v>24930.84</v>
      </c>
    </row>
    <row r="55" spans="1:15" ht="15.75">
      <c r="A55" s="83">
        <v>507637</v>
      </c>
      <c r="B55" s="83">
        <v>211152</v>
      </c>
      <c r="C55" s="83" t="s">
        <v>1487</v>
      </c>
      <c r="D55" s="83"/>
      <c r="E55" s="83" t="s">
        <v>519</v>
      </c>
      <c r="F55" s="83" t="s">
        <v>353</v>
      </c>
      <c r="G55" s="83" t="s">
        <v>1264</v>
      </c>
      <c r="H55" s="83" t="s">
        <v>1263</v>
      </c>
      <c r="I55" s="83" t="s">
        <v>1649</v>
      </c>
      <c r="J55" s="83" t="s">
        <v>364</v>
      </c>
      <c r="K55" s="88" t="s">
        <v>46</v>
      </c>
      <c r="L55" s="201">
        <v>43709</v>
      </c>
      <c r="M55" s="201">
        <v>44530</v>
      </c>
      <c r="N55" s="84">
        <v>40800</v>
      </c>
      <c r="O55" s="84">
        <v>13598.64</v>
      </c>
    </row>
    <row r="56" spans="1:15" ht="15.75">
      <c r="A56" s="83">
        <v>507637</v>
      </c>
      <c r="B56" s="83">
        <v>212636</v>
      </c>
      <c r="C56" s="83" t="s">
        <v>1488</v>
      </c>
      <c r="D56" s="83"/>
      <c r="E56" s="83" t="s">
        <v>519</v>
      </c>
      <c r="F56" s="83" t="s">
        <v>353</v>
      </c>
      <c r="G56" s="83" t="s">
        <v>1370</v>
      </c>
      <c r="H56" s="83" t="s">
        <v>1369</v>
      </c>
      <c r="I56" s="83" t="s">
        <v>1650</v>
      </c>
      <c r="J56" s="83" t="s">
        <v>356</v>
      </c>
      <c r="K56" s="86" t="s">
        <v>53</v>
      </c>
      <c r="L56" s="201">
        <v>43709</v>
      </c>
      <c r="M56" s="201">
        <v>44530</v>
      </c>
      <c r="N56" s="84">
        <v>63750</v>
      </c>
      <c r="O56" s="84">
        <v>21247.875</v>
      </c>
    </row>
    <row r="57" spans="1:15" ht="15.75">
      <c r="A57" s="83">
        <v>507638</v>
      </c>
      <c r="B57" s="83">
        <v>203770</v>
      </c>
      <c r="C57" s="83" t="s">
        <v>1489</v>
      </c>
      <c r="D57" s="83"/>
      <c r="E57" s="83" t="s">
        <v>519</v>
      </c>
      <c r="F57" s="83" t="s">
        <v>353</v>
      </c>
      <c r="G57" s="83" t="s">
        <v>678</v>
      </c>
      <c r="H57" s="83" t="s">
        <v>787</v>
      </c>
      <c r="I57" s="83" t="s">
        <v>1582</v>
      </c>
      <c r="J57" s="83" t="s">
        <v>374</v>
      </c>
      <c r="K57" s="86" t="s">
        <v>260</v>
      </c>
      <c r="L57" s="201">
        <v>43709</v>
      </c>
      <c r="M57" s="201">
        <v>44530</v>
      </c>
      <c r="N57" s="84">
        <v>40000</v>
      </c>
      <c r="O57" s="84">
        <v>13332</v>
      </c>
    </row>
    <row r="58" spans="1:15" ht="15.75">
      <c r="A58" s="83">
        <v>507638</v>
      </c>
      <c r="B58" s="83">
        <v>203820</v>
      </c>
      <c r="C58" s="83" t="s">
        <v>1490</v>
      </c>
      <c r="D58" s="83"/>
      <c r="E58" s="83" t="s">
        <v>519</v>
      </c>
      <c r="F58" s="83" t="s">
        <v>353</v>
      </c>
      <c r="G58" s="83" t="s">
        <v>794</v>
      </c>
      <c r="H58" s="83" t="s">
        <v>793</v>
      </c>
      <c r="I58" s="83" t="s">
        <v>1591</v>
      </c>
      <c r="J58" s="83" t="s">
        <v>369</v>
      </c>
      <c r="K58" s="88" t="s">
        <v>46</v>
      </c>
      <c r="L58" s="201">
        <v>43709</v>
      </c>
      <c r="M58" s="201">
        <v>44530</v>
      </c>
      <c r="N58" s="84">
        <v>30000</v>
      </c>
      <c r="O58" s="84">
        <v>9999</v>
      </c>
    </row>
    <row r="59" spans="1:15" ht="15.75">
      <c r="A59" s="83">
        <v>507638</v>
      </c>
      <c r="B59" s="83">
        <v>206595</v>
      </c>
      <c r="C59" s="83" t="s">
        <v>1491</v>
      </c>
      <c r="D59" s="83"/>
      <c r="E59" s="83" t="s">
        <v>519</v>
      </c>
      <c r="F59" s="83" t="s">
        <v>353</v>
      </c>
      <c r="G59" s="83" t="s">
        <v>904</v>
      </c>
      <c r="H59" s="83" t="s">
        <v>903</v>
      </c>
      <c r="I59" s="83" t="s">
        <v>1651</v>
      </c>
      <c r="J59" s="83" t="s">
        <v>368</v>
      </c>
      <c r="K59" s="88" t="s">
        <v>46</v>
      </c>
      <c r="L59" s="201">
        <v>43709</v>
      </c>
      <c r="M59" s="201">
        <v>44530</v>
      </c>
      <c r="N59" s="84">
        <v>133750</v>
      </c>
      <c r="O59" s="84">
        <v>44578.875</v>
      </c>
    </row>
    <row r="60" spans="1:15" ht="15.75">
      <c r="A60" s="83">
        <v>507638</v>
      </c>
      <c r="B60" s="83">
        <v>207233</v>
      </c>
      <c r="C60" s="83" t="s">
        <v>1492</v>
      </c>
      <c r="D60" s="83"/>
      <c r="E60" s="83" t="s">
        <v>519</v>
      </c>
      <c r="F60" s="83" t="s">
        <v>353</v>
      </c>
      <c r="G60" s="83" t="s">
        <v>945</v>
      </c>
      <c r="H60" s="83" t="s">
        <v>944</v>
      </c>
      <c r="I60" s="83" t="s">
        <v>1618</v>
      </c>
      <c r="J60" s="83" t="s">
        <v>373</v>
      </c>
      <c r="K60" s="88" t="s">
        <v>46</v>
      </c>
      <c r="L60" s="201">
        <v>43709</v>
      </c>
      <c r="M60" s="201">
        <v>44530</v>
      </c>
      <c r="N60" s="84">
        <v>133500</v>
      </c>
      <c r="O60" s="84">
        <v>44495.549999999996</v>
      </c>
    </row>
    <row r="61" spans="1:15" ht="15.75">
      <c r="A61" s="83">
        <v>507638</v>
      </c>
      <c r="B61" s="83">
        <v>207444</v>
      </c>
      <c r="C61" s="83" t="s">
        <v>1493</v>
      </c>
      <c r="D61" s="83"/>
      <c r="E61" s="83" t="s">
        <v>519</v>
      </c>
      <c r="F61" s="83" t="s">
        <v>353</v>
      </c>
      <c r="G61" s="83" t="s">
        <v>962</v>
      </c>
      <c r="H61" s="83" t="s">
        <v>961</v>
      </c>
      <c r="I61" s="83" t="s">
        <v>1652</v>
      </c>
      <c r="J61" s="83" t="s">
        <v>1653</v>
      </c>
      <c r="K61" s="88" t="s">
        <v>46</v>
      </c>
      <c r="L61" s="201">
        <v>43709</v>
      </c>
      <c r="M61" s="201">
        <v>44530</v>
      </c>
      <c r="N61" s="84">
        <v>100000</v>
      </c>
      <c r="O61" s="84">
        <v>33330</v>
      </c>
    </row>
    <row r="62" spans="1:15" ht="15.75">
      <c r="A62" s="83">
        <v>507638</v>
      </c>
      <c r="B62" s="83">
        <v>209210</v>
      </c>
      <c r="C62" s="83" t="s">
        <v>1494</v>
      </c>
      <c r="D62" s="83"/>
      <c r="E62" s="83" t="s">
        <v>519</v>
      </c>
      <c r="F62" s="83" t="s">
        <v>353</v>
      </c>
      <c r="G62" s="83" t="s">
        <v>1179</v>
      </c>
      <c r="H62" s="83" t="s">
        <v>1178</v>
      </c>
      <c r="I62" s="83" t="s">
        <v>1603</v>
      </c>
      <c r="J62" s="83" t="s">
        <v>1654</v>
      </c>
      <c r="K62" s="86" t="s">
        <v>68</v>
      </c>
      <c r="L62" s="201">
        <v>43709</v>
      </c>
      <c r="M62" s="201">
        <v>44530</v>
      </c>
      <c r="N62" s="84">
        <v>58000</v>
      </c>
      <c r="O62" s="84">
        <v>19331.399999999998</v>
      </c>
    </row>
    <row r="63" spans="1:15" ht="15.75">
      <c r="A63" s="83">
        <v>507638</v>
      </c>
      <c r="B63" s="83">
        <v>211256</v>
      </c>
      <c r="C63" s="83" t="s">
        <v>1495</v>
      </c>
      <c r="D63" s="83"/>
      <c r="E63" s="83" t="s">
        <v>519</v>
      </c>
      <c r="F63" s="83" t="s">
        <v>353</v>
      </c>
      <c r="G63" s="83" t="s">
        <v>1136</v>
      </c>
      <c r="H63" s="83" t="s">
        <v>1280</v>
      </c>
      <c r="I63" s="83" t="s">
        <v>1655</v>
      </c>
      <c r="J63" s="83" t="s">
        <v>370</v>
      </c>
      <c r="K63" s="86" t="s">
        <v>68</v>
      </c>
      <c r="L63" s="201">
        <v>43709</v>
      </c>
      <c r="M63" s="201">
        <v>44530</v>
      </c>
      <c r="N63" s="84">
        <v>135000</v>
      </c>
      <c r="O63" s="84">
        <v>44995.5</v>
      </c>
    </row>
    <row r="64" spans="1:15" ht="15.75">
      <c r="A64" s="83">
        <v>507638</v>
      </c>
      <c r="B64" s="83">
        <v>211963</v>
      </c>
      <c r="C64" s="83" t="s">
        <v>1496</v>
      </c>
      <c r="D64" s="83"/>
      <c r="E64" s="83" t="s">
        <v>519</v>
      </c>
      <c r="F64" s="83" t="s">
        <v>353</v>
      </c>
      <c r="G64" s="83" t="s">
        <v>1315</v>
      </c>
      <c r="H64" s="83" t="s">
        <v>1314</v>
      </c>
      <c r="I64" s="83" t="s">
        <v>1656</v>
      </c>
      <c r="J64" s="83" t="s">
        <v>372</v>
      </c>
      <c r="K64" s="88" t="s">
        <v>46</v>
      </c>
      <c r="L64" s="201">
        <v>43709</v>
      </c>
      <c r="M64" s="201">
        <v>44530</v>
      </c>
      <c r="N64" s="84">
        <v>133500</v>
      </c>
      <c r="O64" s="84">
        <v>44495.549999999996</v>
      </c>
    </row>
    <row r="65" spans="1:15" ht="15.75">
      <c r="A65" s="83">
        <v>507638</v>
      </c>
      <c r="B65" s="83">
        <v>212504</v>
      </c>
      <c r="C65" s="83" t="s">
        <v>1497</v>
      </c>
      <c r="D65" s="83"/>
      <c r="E65" s="83" t="s">
        <v>519</v>
      </c>
      <c r="F65" s="83" t="s">
        <v>353</v>
      </c>
      <c r="G65" s="83" t="s">
        <v>1355</v>
      </c>
      <c r="H65" s="83" t="s">
        <v>1354</v>
      </c>
      <c r="I65" s="83" t="s">
        <v>1609</v>
      </c>
      <c r="J65" s="83" t="s">
        <v>371</v>
      </c>
      <c r="K65" s="86" t="s">
        <v>68</v>
      </c>
      <c r="L65" s="201">
        <v>43709</v>
      </c>
      <c r="M65" s="201">
        <v>44530</v>
      </c>
      <c r="N65" s="84">
        <v>133000</v>
      </c>
      <c r="O65" s="84">
        <v>44328.9</v>
      </c>
    </row>
    <row r="66" spans="1:15" ht="15.75">
      <c r="A66" s="83">
        <v>507639</v>
      </c>
      <c r="B66" s="83">
        <v>205839</v>
      </c>
      <c r="C66" s="83" t="s">
        <v>2056</v>
      </c>
      <c r="D66" s="83"/>
      <c r="E66" s="83" t="s">
        <v>519</v>
      </c>
      <c r="F66" s="83" t="s">
        <v>353</v>
      </c>
      <c r="G66" s="83" t="s">
        <v>843</v>
      </c>
      <c r="H66" s="83" t="s">
        <v>649</v>
      </c>
      <c r="I66" s="83" t="s">
        <v>1586</v>
      </c>
      <c r="J66" s="83" t="s">
        <v>492</v>
      </c>
      <c r="K66" s="88" t="s">
        <v>46</v>
      </c>
      <c r="L66" s="201">
        <v>43709</v>
      </c>
      <c r="M66" s="201">
        <v>44530</v>
      </c>
      <c r="N66" s="84">
        <v>40000</v>
      </c>
      <c r="O66" s="84">
        <v>13332</v>
      </c>
    </row>
    <row r="67" spans="1:15" ht="15.75">
      <c r="A67" s="83">
        <v>507639</v>
      </c>
      <c r="B67" s="83">
        <v>206147</v>
      </c>
      <c r="C67" s="83" t="s">
        <v>1498</v>
      </c>
      <c r="D67" s="83"/>
      <c r="E67" s="83" t="s">
        <v>519</v>
      </c>
      <c r="F67" s="83" t="s">
        <v>353</v>
      </c>
      <c r="G67" s="83" t="s">
        <v>873</v>
      </c>
      <c r="H67" s="83" t="s">
        <v>872</v>
      </c>
      <c r="I67" s="83" t="s">
        <v>1657</v>
      </c>
      <c r="J67" s="83" t="s">
        <v>381</v>
      </c>
      <c r="K67" s="88" t="s">
        <v>46</v>
      </c>
      <c r="L67" s="201">
        <v>43709</v>
      </c>
      <c r="M67" s="201">
        <v>44530</v>
      </c>
      <c r="N67" s="84">
        <v>240000</v>
      </c>
      <c r="O67" s="84">
        <v>79992</v>
      </c>
    </row>
    <row r="68" spans="1:15" ht="15.75">
      <c r="A68" s="83">
        <v>507639</v>
      </c>
      <c r="B68" s="83">
        <v>206205</v>
      </c>
      <c r="C68" s="83" t="s">
        <v>1499</v>
      </c>
      <c r="D68" s="83"/>
      <c r="E68" s="83" t="s">
        <v>519</v>
      </c>
      <c r="F68" s="83" t="s">
        <v>353</v>
      </c>
      <c r="G68" s="83" t="s">
        <v>881</v>
      </c>
      <c r="H68" s="83" t="s">
        <v>880</v>
      </c>
      <c r="I68" s="83" t="s">
        <v>1658</v>
      </c>
      <c r="J68" s="83" t="s">
        <v>378</v>
      </c>
      <c r="K68" s="88" t="s">
        <v>46</v>
      </c>
      <c r="L68" s="201">
        <v>43709</v>
      </c>
      <c r="M68" s="201">
        <v>44530</v>
      </c>
      <c r="N68" s="84">
        <v>240000</v>
      </c>
      <c r="O68" s="84">
        <v>79992</v>
      </c>
    </row>
    <row r="69" spans="1:15" ht="15.75">
      <c r="A69" s="83">
        <v>507639</v>
      </c>
      <c r="B69" s="83">
        <v>206595</v>
      </c>
      <c r="C69" s="83" t="s">
        <v>1500</v>
      </c>
      <c r="D69" s="83"/>
      <c r="E69" s="83" t="s">
        <v>519</v>
      </c>
      <c r="F69" s="83" t="s">
        <v>353</v>
      </c>
      <c r="G69" s="83" t="s">
        <v>904</v>
      </c>
      <c r="H69" s="83" t="s">
        <v>903</v>
      </c>
      <c r="I69" s="83" t="s">
        <v>1651</v>
      </c>
      <c r="J69" s="83" t="s">
        <v>368</v>
      </c>
      <c r="K69" s="88" t="s">
        <v>46</v>
      </c>
      <c r="L69" s="201">
        <v>43709</v>
      </c>
      <c r="M69" s="201">
        <v>44530</v>
      </c>
      <c r="N69" s="84">
        <v>40000</v>
      </c>
      <c r="O69" s="84">
        <v>13332</v>
      </c>
    </row>
    <row r="70" spans="1:15" ht="15.75">
      <c r="A70" s="83">
        <v>507639</v>
      </c>
      <c r="B70" s="83">
        <v>208379</v>
      </c>
      <c r="C70" s="83" t="s">
        <v>1501</v>
      </c>
      <c r="D70" s="83"/>
      <c r="E70" s="83" t="s">
        <v>519</v>
      </c>
      <c r="F70" s="83" t="s">
        <v>353</v>
      </c>
      <c r="G70" s="83" t="s">
        <v>1002</v>
      </c>
      <c r="H70" s="83" t="s">
        <v>1001</v>
      </c>
      <c r="I70" s="83" t="s">
        <v>1628</v>
      </c>
      <c r="J70" s="83" t="s">
        <v>350</v>
      </c>
      <c r="K70" s="88" t="s">
        <v>46</v>
      </c>
      <c r="L70" s="201">
        <v>43709</v>
      </c>
      <c r="M70" s="201">
        <v>44530</v>
      </c>
      <c r="N70" s="84">
        <v>80000</v>
      </c>
      <c r="O70" s="84">
        <v>26664</v>
      </c>
    </row>
    <row r="71" spans="1:15" ht="15.75">
      <c r="A71" s="83">
        <v>507639</v>
      </c>
      <c r="B71" s="83">
        <v>210174</v>
      </c>
      <c r="C71" s="83" t="s">
        <v>1502</v>
      </c>
      <c r="D71" s="83"/>
      <c r="E71" s="83" t="s">
        <v>519</v>
      </c>
      <c r="F71" s="83" t="s">
        <v>353</v>
      </c>
      <c r="G71" s="83" t="s">
        <v>1241</v>
      </c>
      <c r="H71" s="83" t="s">
        <v>1240</v>
      </c>
      <c r="I71" s="83" t="s">
        <v>1659</v>
      </c>
      <c r="J71" s="83" t="s">
        <v>377</v>
      </c>
      <c r="K71" s="88" t="s">
        <v>46</v>
      </c>
      <c r="L71" s="201">
        <v>43709</v>
      </c>
      <c r="M71" s="201">
        <v>44530</v>
      </c>
      <c r="N71" s="84">
        <v>80000</v>
      </c>
      <c r="O71" s="84">
        <v>26664</v>
      </c>
    </row>
    <row r="72" spans="1:15" ht="15.75">
      <c r="A72" s="83">
        <v>507639</v>
      </c>
      <c r="B72" s="83">
        <v>212065</v>
      </c>
      <c r="C72" s="83" t="s">
        <v>1503</v>
      </c>
      <c r="D72" s="83"/>
      <c r="E72" s="83" t="s">
        <v>519</v>
      </c>
      <c r="F72" s="83" t="s">
        <v>353</v>
      </c>
      <c r="G72" s="83" t="s">
        <v>1327</v>
      </c>
      <c r="H72" s="83" t="s">
        <v>1326</v>
      </c>
      <c r="I72" s="83" t="s">
        <v>1660</v>
      </c>
      <c r="J72" s="83" t="s">
        <v>380</v>
      </c>
      <c r="K72" s="88" t="s">
        <v>46</v>
      </c>
      <c r="L72" s="201">
        <v>43709</v>
      </c>
      <c r="M72" s="201">
        <v>44530</v>
      </c>
      <c r="N72" s="84">
        <v>240000</v>
      </c>
      <c r="O72" s="84">
        <v>79992</v>
      </c>
    </row>
    <row r="73" spans="1:15" ht="15.75">
      <c r="A73" s="83">
        <v>507639</v>
      </c>
      <c r="B73" s="83">
        <v>212361</v>
      </c>
      <c r="C73" s="83" t="s">
        <v>1504</v>
      </c>
      <c r="D73" s="83"/>
      <c r="E73" s="83" t="s">
        <v>519</v>
      </c>
      <c r="F73" s="83" t="s">
        <v>353</v>
      </c>
      <c r="G73" s="83" t="s">
        <v>1346</v>
      </c>
      <c r="H73" s="83" t="s">
        <v>1345</v>
      </c>
      <c r="I73" s="83" t="s">
        <v>1624</v>
      </c>
      <c r="J73" s="83" t="s">
        <v>379</v>
      </c>
      <c r="K73" s="88" t="s">
        <v>46</v>
      </c>
      <c r="L73" s="201">
        <v>43709</v>
      </c>
      <c r="M73" s="201">
        <v>44530</v>
      </c>
      <c r="N73" s="84">
        <v>240000</v>
      </c>
      <c r="O73" s="84">
        <v>79992</v>
      </c>
    </row>
    <row r="74" spans="1:15" ht="15.75">
      <c r="A74" s="83">
        <v>507641</v>
      </c>
      <c r="B74" s="83">
        <v>203173</v>
      </c>
      <c r="C74" s="83" t="s">
        <v>1505</v>
      </c>
      <c r="D74" s="83"/>
      <c r="E74" s="83" t="s">
        <v>519</v>
      </c>
      <c r="F74" s="83" t="s">
        <v>353</v>
      </c>
      <c r="G74" s="83" t="s">
        <v>752</v>
      </c>
      <c r="H74" s="83" t="s">
        <v>751</v>
      </c>
      <c r="I74" s="83" t="s">
        <v>1661</v>
      </c>
      <c r="J74" s="83" t="s">
        <v>385</v>
      </c>
      <c r="K74" s="86" t="s">
        <v>75</v>
      </c>
      <c r="L74" s="201">
        <v>43709</v>
      </c>
      <c r="M74" s="201">
        <v>44530</v>
      </c>
      <c r="N74" s="84">
        <v>61955</v>
      </c>
      <c r="O74" s="84">
        <v>20649.601500000001</v>
      </c>
    </row>
    <row r="75" spans="1:15" ht="15.75">
      <c r="A75" s="83">
        <v>507641</v>
      </c>
      <c r="B75" s="83">
        <v>203820</v>
      </c>
      <c r="C75" s="83" t="s">
        <v>1506</v>
      </c>
      <c r="D75" s="83"/>
      <c r="E75" s="83" t="s">
        <v>519</v>
      </c>
      <c r="F75" s="83" t="s">
        <v>353</v>
      </c>
      <c r="G75" s="83" t="s">
        <v>794</v>
      </c>
      <c r="H75" s="83" t="s">
        <v>793</v>
      </c>
      <c r="I75" s="83" t="s">
        <v>1591</v>
      </c>
      <c r="J75" s="83" t="s">
        <v>369</v>
      </c>
      <c r="K75" s="88" t="s">
        <v>46</v>
      </c>
      <c r="L75" s="201">
        <v>43709</v>
      </c>
      <c r="M75" s="201">
        <v>44530</v>
      </c>
      <c r="N75" s="84">
        <v>106415</v>
      </c>
      <c r="O75" s="84">
        <v>35468.119500000001</v>
      </c>
    </row>
    <row r="76" spans="1:15" ht="15.75">
      <c r="A76" s="83">
        <v>507641</v>
      </c>
      <c r="B76" s="83">
        <v>205592</v>
      </c>
      <c r="C76" s="83" t="s">
        <v>1507</v>
      </c>
      <c r="D76" s="83"/>
      <c r="E76" s="83" t="s">
        <v>519</v>
      </c>
      <c r="F76" s="83" t="s">
        <v>353</v>
      </c>
      <c r="G76" s="83" t="s">
        <v>831</v>
      </c>
      <c r="H76" s="83" t="s">
        <v>830</v>
      </c>
      <c r="I76" s="83" t="s">
        <v>1595</v>
      </c>
      <c r="J76" s="83" t="s">
        <v>389</v>
      </c>
      <c r="K76" s="88" t="s">
        <v>46</v>
      </c>
      <c r="L76" s="201">
        <v>43709</v>
      </c>
      <c r="M76" s="201">
        <v>44530</v>
      </c>
      <c r="N76" s="84">
        <v>32000</v>
      </c>
      <c r="O76" s="84">
        <v>10665.6</v>
      </c>
    </row>
    <row r="77" spans="1:15" ht="15.75">
      <c r="A77" s="83">
        <v>507641</v>
      </c>
      <c r="B77" s="83">
        <v>208897</v>
      </c>
      <c r="C77" s="83" t="s">
        <v>1508</v>
      </c>
      <c r="D77" s="83"/>
      <c r="E77" s="83" t="s">
        <v>519</v>
      </c>
      <c r="F77" s="83" t="s">
        <v>353</v>
      </c>
      <c r="G77" s="83" t="s">
        <v>1152</v>
      </c>
      <c r="H77" s="83" t="s">
        <v>1151</v>
      </c>
      <c r="I77" s="83" t="s">
        <v>1593</v>
      </c>
      <c r="J77" s="83" t="s">
        <v>387</v>
      </c>
      <c r="K77" s="88" t="s">
        <v>46</v>
      </c>
      <c r="L77" s="201">
        <v>43709</v>
      </c>
      <c r="M77" s="201">
        <v>44530</v>
      </c>
      <c r="N77" s="84">
        <v>73925</v>
      </c>
      <c r="O77" s="84">
        <v>24639.202499999999</v>
      </c>
    </row>
    <row r="78" spans="1:15" ht="15.75">
      <c r="A78" s="83">
        <v>507641</v>
      </c>
      <c r="B78" s="83">
        <v>208934</v>
      </c>
      <c r="C78" s="83" t="s">
        <v>1509</v>
      </c>
      <c r="D78" s="83"/>
      <c r="E78" s="83" t="s">
        <v>519</v>
      </c>
      <c r="F78" s="83" t="s">
        <v>353</v>
      </c>
      <c r="G78" s="83" t="s">
        <v>1165</v>
      </c>
      <c r="H78" s="83" t="s">
        <v>1164</v>
      </c>
      <c r="I78" s="83" t="s">
        <v>1662</v>
      </c>
      <c r="J78" s="83" t="s">
        <v>1663</v>
      </c>
      <c r="K78" s="86" t="s">
        <v>75</v>
      </c>
      <c r="L78" s="201">
        <v>43709</v>
      </c>
      <c r="M78" s="201">
        <v>44530</v>
      </c>
      <c r="N78" s="84">
        <v>58717</v>
      </c>
      <c r="O78" s="84">
        <v>19570.376099999998</v>
      </c>
    </row>
    <row r="79" spans="1:15" ht="15.75">
      <c r="A79" s="83">
        <v>507642</v>
      </c>
      <c r="B79" s="83">
        <v>200150</v>
      </c>
      <c r="C79" s="83" t="s">
        <v>1510</v>
      </c>
      <c r="D79" s="83"/>
      <c r="E79" s="83" t="s">
        <v>519</v>
      </c>
      <c r="F79" s="83" t="s">
        <v>353</v>
      </c>
      <c r="G79" s="83" t="s">
        <v>644</v>
      </c>
      <c r="H79" s="83" t="s">
        <v>643</v>
      </c>
      <c r="I79" s="83" t="s">
        <v>1664</v>
      </c>
      <c r="J79" s="83" t="s">
        <v>393</v>
      </c>
      <c r="K79" s="86" t="s">
        <v>53</v>
      </c>
      <c r="L79" s="201">
        <v>43709</v>
      </c>
      <c r="M79" s="201">
        <v>44530</v>
      </c>
      <c r="N79" s="84">
        <v>90000</v>
      </c>
      <c r="O79" s="84">
        <v>29997</v>
      </c>
    </row>
    <row r="80" spans="1:15" ht="15.75">
      <c r="A80" s="83">
        <v>507642</v>
      </c>
      <c r="B80" s="83">
        <v>208607</v>
      </c>
      <c r="C80" s="83" t="s">
        <v>1511</v>
      </c>
      <c r="D80" s="83"/>
      <c r="E80" s="83" t="s">
        <v>519</v>
      </c>
      <c r="F80" s="83" t="s">
        <v>353</v>
      </c>
      <c r="G80" s="83" t="s">
        <v>1027</v>
      </c>
      <c r="H80" s="83" t="s">
        <v>1026</v>
      </c>
      <c r="I80" s="83" t="s">
        <v>1665</v>
      </c>
      <c r="J80" s="83" t="s">
        <v>391</v>
      </c>
      <c r="K80" s="86" t="s">
        <v>53</v>
      </c>
      <c r="L80" s="201">
        <v>43709</v>
      </c>
      <c r="M80" s="201">
        <v>44530</v>
      </c>
      <c r="N80" s="84">
        <v>100000</v>
      </c>
      <c r="O80" s="84">
        <v>33330</v>
      </c>
    </row>
    <row r="81" spans="1:15" ht="15.75">
      <c r="A81" s="83">
        <v>507642</v>
      </c>
      <c r="B81" s="83">
        <v>212714</v>
      </c>
      <c r="C81" s="83" t="s">
        <v>1512</v>
      </c>
      <c r="D81" s="83"/>
      <c r="E81" s="83" t="s">
        <v>519</v>
      </c>
      <c r="F81" s="83" t="s">
        <v>353</v>
      </c>
      <c r="G81" s="83" t="s">
        <v>881</v>
      </c>
      <c r="H81" s="83" t="s">
        <v>1383</v>
      </c>
      <c r="I81" s="83" t="s">
        <v>1666</v>
      </c>
      <c r="J81" s="83" t="s">
        <v>392</v>
      </c>
      <c r="K81" s="86" t="s">
        <v>53</v>
      </c>
      <c r="L81" s="201">
        <v>43709</v>
      </c>
      <c r="M81" s="201">
        <v>44530</v>
      </c>
      <c r="N81" s="84">
        <v>90000</v>
      </c>
      <c r="O81" s="84">
        <v>29997</v>
      </c>
    </row>
    <row r="82" spans="1:15" ht="15.75">
      <c r="A82" s="83">
        <v>507643</v>
      </c>
      <c r="B82" s="83">
        <v>201921</v>
      </c>
      <c r="C82" s="83" t="s">
        <v>1513</v>
      </c>
      <c r="D82" s="83"/>
      <c r="E82" s="83" t="s">
        <v>519</v>
      </c>
      <c r="F82" s="83" t="s">
        <v>353</v>
      </c>
      <c r="G82" s="83" t="s">
        <v>709</v>
      </c>
      <c r="H82" s="83" t="s">
        <v>708</v>
      </c>
      <c r="I82" s="83" t="s">
        <v>1667</v>
      </c>
      <c r="J82" s="83" t="s">
        <v>397</v>
      </c>
      <c r="K82" s="88" t="s">
        <v>46</v>
      </c>
      <c r="L82" s="201">
        <v>43709</v>
      </c>
      <c r="M82" s="201">
        <v>44530</v>
      </c>
      <c r="N82" s="84">
        <v>80000</v>
      </c>
      <c r="O82" s="84">
        <v>26664</v>
      </c>
    </row>
    <row r="83" spans="1:15" ht="15.75">
      <c r="A83" s="83">
        <v>507643</v>
      </c>
      <c r="B83" s="83">
        <v>208489</v>
      </c>
      <c r="C83" s="83" t="s">
        <v>1514</v>
      </c>
      <c r="D83" s="83"/>
      <c r="E83" s="83" t="s">
        <v>519</v>
      </c>
      <c r="F83" s="83" t="s">
        <v>353</v>
      </c>
      <c r="G83" s="83" t="s">
        <v>1016</v>
      </c>
      <c r="H83" s="83" t="s">
        <v>1015</v>
      </c>
      <c r="I83" s="83" t="s">
        <v>1668</v>
      </c>
      <c r="J83" s="83" t="s">
        <v>395</v>
      </c>
      <c r="K83" s="86" t="s">
        <v>68</v>
      </c>
      <c r="L83" s="201">
        <v>43709</v>
      </c>
      <c r="M83" s="201">
        <v>44530</v>
      </c>
      <c r="N83" s="84">
        <v>72000</v>
      </c>
      <c r="O83" s="84">
        <v>23997.599999999999</v>
      </c>
    </row>
    <row r="84" spans="1:15" ht="15.75">
      <c r="A84" s="83">
        <v>507643</v>
      </c>
      <c r="B84" s="83">
        <v>208810</v>
      </c>
      <c r="C84" s="83" t="s">
        <v>1515</v>
      </c>
      <c r="D84" s="83"/>
      <c r="E84" s="83" t="s">
        <v>519</v>
      </c>
      <c r="F84" s="83" t="s">
        <v>353</v>
      </c>
      <c r="G84" s="83" t="s">
        <v>1131</v>
      </c>
      <c r="H84" s="83" t="s">
        <v>1130</v>
      </c>
      <c r="I84" s="83" t="s">
        <v>1575</v>
      </c>
      <c r="J84" s="83" t="s">
        <v>398</v>
      </c>
      <c r="K84" s="86" t="s">
        <v>53</v>
      </c>
      <c r="L84" s="201">
        <v>43709</v>
      </c>
      <c r="M84" s="201">
        <v>44530</v>
      </c>
      <c r="N84" s="84">
        <v>100000</v>
      </c>
      <c r="O84" s="84">
        <v>33330</v>
      </c>
    </row>
    <row r="85" spans="1:15" ht="15.75">
      <c r="A85" s="83">
        <v>507643</v>
      </c>
      <c r="B85" s="83">
        <v>211134</v>
      </c>
      <c r="C85" s="83" t="s">
        <v>1516</v>
      </c>
      <c r="D85" s="83"/>
      <c r="E85" s="83" t="s">
        <v>519</v>
      </c>
      <c r="F85" s="83" t="s">
        <v>353</v>
      </c>
      <c r="G85" s="83" t="s">
        <v>1260</v>
      </c>
      <c r="H85" s="83" t="s">
        <v>1259</v>
      </c>
      <c r="I85" s="83" t="s">
        <v>1669</v>
      </c>
      <c r="J85" s="83" t="s">
        <v>394</v>
      </c>
      <c r="K85" s="88" t="s">
        <v>46</v>
      </c>
      <c r="L85" s="201">
        <v>43709</v>
      </c>
      <c r="M85" s="201">
        <v>44530</v>
      </c>
      <c r="N85" s="84">
        <v>80000</v>
      </c>
      <c r="O85" s="84">
        <v>26664</v>
      </c>
    </row>
    <row r="86" spans="1:15" ht="15.75">
      <c r="A86" s="83">
        <v>507693</v>
      </c>
      <c r="B86" s="83">
        <v>201921</v>
      </c>
      <c r="C86" s="83" t="s">
        <v>1517</v>
      </c>
      <c r="D86" s="83"/>
      <c r="E86" s="83" t="s">
        <v>519</v>
      </c>
      <c r="F86" s="83" t="s">
        <v>353</v>
      </c>
      <c r="G86" s="83" t="s">
        <v>709</v>
      </c>
      <c r="H86" s="83" t="s">
        <v>708</v>
      </c>
      <c r="I86" s="83" t="s">
        <v>1667</v>
      </c>
      <c r="J86" s="83" t="s">
        <v>397</v>
      </c>
      <c r="K86" s="88" t="s">
        <v>46</v>
      </c>
      <c r="L86" s="201">
        <v>43709</v>
      </c>
      <c r="M86" s="201">
        <v>44530</v>
      </c>
      <c r="N86" s="84">
        <v>66900</v>
      </c>
      <c r="O86" s="84">
        <v>22297.77</v>
      </c>
    </row>
    <row r="87" spans="1:15" ht="15.75">
      <c r="A87" s="83">
        <v>507693</v>
      </c>
      <c r="B87" s="83">
        <v>206130</v>
      </c>
      <c r="C87" s="83" t="s">
        <v>1518</v>
      </c>
      <c r="D87" s="83"/>
      <c r="E87" s="83" t="s">
        <v>519</v>
      </c>
      <c r="F87" s="83" t="s">
        <v>353</v>
      </c>
      <c r="G87" s="83" t="s">
        <v>870</v>
      </c>
      <c r="H87" s="83" t="s">
        <v>869</v>
      </c>
      <c r="I87" s="83" t="s">
        <v>1670</v>
      </c>
      <c r="J87" s="83" t="s">
        <v>400</v>
      </c>
      <c r="K87" s="88" t="s">
        <v>46</v>
      </c>
      <c r="L87" s="201">
        <v>43709</v>
      </c>
      <c r="M87" s="201">
        <v>44530</v>
      </c>
      <c r="N87" s="84">
        <v>100350</v>
      </c>
      <c r="O87" s="84">
        <v>33446.654999999999</v>
      </c>
    </row>
    <row r="88" spans="1:15" ht="15.75">
      <c r="A88" s="83">
        <v>507693</v>
      </c>
      <c r="B88" s="83">
        <v>209184</v>
      </c>
      <c r="C88" s="83" t="s">
        <v>1519</v>
      </c>
      <c r="D88" s="83"/>
      <c r="E88" s="83" t="s">
        <v>519</v>
      </c>
      <c r="F88" s="83" t="s">
        <v>353</v>
      </c>
      <c r="G88" s="83" t="s">
        <v>1174</v>
      </c>
      <c r="H88" s="83" t="s">
        <v>1173</v>
      </c>
      <c r="I88" s="83" t="s">
        <v>1671</v>
      </c>
      <c r="J88" s="83" t="s">
        <v>411</v>
      </c>
      <c r="K88" s="86" t="s">
        <v>53</v>
      </c>
      <c r="L88" s="201">
        <v>43709</v>
      </c>
      <c r="M88" s="201">
        <v>44530</v>
      </c>
      <c r="N88" s="84">
        <v>108000</v>
      </c>
      <c r="O88" s="84">
        <v>35996.400000000001</v>
      </c>
    </row>
    <row r="89" spans="1:15" ht="15.75">
      <c r="A89" s="83">
        <v>507693</v>
      </c>
      <c r="B89" s="89">
        <v>209766</v>
      </c>
      <c r="C89" s="89" t="s">
        <v>1520</v>
      </c>
      <c r="D89" s="89"/>
      <c r="E89" s="83" t="s">
        <v>519</v>
      </c>
      <c r="F89" s="83" t="s">
        <v>353</v>
      </c>
      <c r="G89" s="83" t="s">
        <v>1218</v>
      </c>
      <c r="H89" s="89" t="s">
        <v>1217</v>
      </c>
      <c r="I89" s="89" t="s">
        <v>1672</v>
      </c>
      <c r="J89" s="83" t="s">
        <v>1673</v>
      </c>
      <c r="K89" s="86" t="s">
        <v>53</v>
      </c>
      <c r="L89" s="201">
        <v>43709</v>
      </c>
      <c r="M89" s="201">
        <v>44530</v>
      </c>
      <c r="N89" s="84">
        <v>108123</v>
      </c>
      <c r="O89" s="84">
        <v>36037.395899999996</v>
      </c>
    </row>
    <row r="90" spans="1:15" ht="15.75">
      <c r="A90" s="83">
        <v>507693</v>
      </c>
      <c r="B90" s="83">
        <v>211063</v>
      </c>
      <c r="C90" s="83" t="s">
        <v>1521</v>
      </c>
      <c r="D90" s="83"/>
      <c r="E90" s="83" t="s">
        <v>519</v>
      </c>
      <c r="F90" s="83" t="s">
        <v>353</v>
      </c>
      <c r="G90" s="83" t="s">
        <v>1257</v>
      </c>
      <c r="H90" s="83" t="s">
        <v>1256</v>
      </c>
      <c r="I90" s="83" t="s">
        <v>1674</v>
      </c>
      <c r="J90" s="83" t="s">
        <v>402</v>
      </c>
      <c r="K90" s="86" t="s">
        <v>68</v>
      </c>
      <c r="L90" s="201">
        <v>43709</v>
      </c>
      <c r="M90" s="201">
        <v>44530</v>
      </c>
      <c r="N90" s="84">
        <v>33450</v>
      </c>
      <c r="O90" s="84">
        <v>11148.885</v>
      </c>
    </row>
    <row r="91" spans="1:15" ht="15.75">
      <c r="A91" s="83">
        <v>507693</v>
      </c>
      <c r="B91" s="83">
        <v>211963</v>
      </c>
      <c r="C91" s="83" t="s">
        <v>1522</v>
      </c>
      <c r="D91" s="83"/>
      <c r="E91" s="83" t="s">
        <v>519</v>
      </c>
      <c r="F91" s="83" t="s">
        <v>353</v>
      </c>
      <c r="G91" s="83" t="s">
        <v>1315</v>
      </c>
      <c r="H91" s="83" t="s">
        <v>1314</v>
      </c>
      <c r="I91" s="83" t="s">
        <v>1656</v>
      </c>
      <c r="J91" s="83" t="s">
        <v>372</v>
      </c>
      <c r="K91" s="88" t="s">
        <v>46</v>
      </c>
      <c r="L91" s="201">
        <v>43709</v>
      </c>
      <c r="M91" s="201">
        <v>44530</v>
      </c>
      <c r="N91" s="84">
        <v>33450</v>
      </c>
      <c r="O91" s="84">
        <v>11148.885</v>
      </c>
    </row>
    <row r="92" spans="1:15" ht="15.75">
      <c r="A92" s="83">
        <v>507693</v>
      </c>
      <c r="B92" s="83">
        <v>212636</v>
      </c>
      <c r="C92" s="83" t="s">
        <v>1523</v>
      </c>
      <c r="D92" s="83"/>
      <c r="E92" s="83" t="s">
        <v>519</v>
      </c>
      <c r="F92" s="83" t="s">
        <v>353</v>
      </c>
      <c r="G92" s="83" t="s">
        <v>1370</v>
      </c>
      <c r="H92" s="83" t="s">
        <v>1369</v>
      </c>
      <c r="I92" s="83" t="s">
        <v>1650</v>
      </c>
      <c r="J92" s="83" t="s">
        <v>356</v>
      </c>
      <c r="K92" s="86" t="s">
        <v>53</v>
      </c>
      <c r="L92" s="201">
        <v>43709</v>
      </c>
      <c r="M92" s="201">
        <v>44530</v>
      </c>
      <c r="N92" s="84">
        <v>108370</v>
      </c>
      <c r="O92" s="84">
        <v>36119.720999999998</v>
      </c>
    </row>
    <row r="93" spans="1:15" ht="15.75">
      <c r="A93" s="83">
        <v>507693</v>
      </c>
      <c r="B93" s="83">
        <v>212893</v>
      </c>
      <c r="C93" s="83" t="s">
        <v>1524</v>
      </c>
      <c r="D93" s="83"/>
      <c r="E93" s="83" t="s">
        <v>519</v>
      </c>
      <c r="F93" s="83" t="s">
        <v>353</v>
      </c>
      <c r="G93" s="83" t="s">
        <v>1386</v>
      </c>
      <c r="H93" s="83" t="s">
        <v>1385</v>
      </c>
      <c r="I93" s="83" t="s">
        <v>1675</v>
      </c>
      <c r="J93" s="83" t="s">
        <v>406</v>
      </c>
      <c r="K93" s="86" t="s">
        <v>53</v>
      </c>
      <c r="L93" s="201">
        <v>43709</v>
      </c>
      <c r="M93" s="201">
        <v>44530</v>
      </c>
      <c r="N93" s="84">
        <v>108000</v>
      </c>
      <c r="O93" s="84">
        <v>35996.400000000001</v>
      </c>
    </row>
    <row r="94" spans="1:15" ht="15.75">
      <c r="A94" s="83">
        <v>507776</v>
      </c>
      <c r="B94" s="83">
        <v>208625</v>
      </c>
      <c r="C94" s="83" t="s">
        <v>1525</v>
      </c>
      <c r="D94" s="83" t="s">
        <v>2057</v>
      </c>
      <c r="E94" s="83" t="s">
        <v>519</v>
      </c>
      <c r="F94" s="83" t="s">
        <v>353</v>
      </c>
      <c r="G94" s="83" t="s">
        <v>1077</v>
      </c>
      <c r="H94" s="83" t="s">
        <v>1076</v>
      </c>
      <c r="I94" s="83" t="s">
        <v>1643</v>
      </c>
      <c r="J94" s="97" t="s">
        <v>366</v>
      </c>
      <c r="K94" s="86" t="s">
        <v>53</v>
      </c>
      <c r="L94" s="201">
        <v>43709</v>
      </c>
      <c r="M94" s="201">
        <v>44530</v>
      </c>
      <c r="N94" s="84">
        <v>26667</v>
      </c>
      <c r="O94" s="84">
        <v>8888.1111000000001</v>
      </c>
    </row>
    <row r="95" spans="1:15" ht="15.75">
      <c r="A95" s="83">
        <v>507776</v>
      </c>
      <c r="B95" s="83">
        <v>208625</v>
      </c>
      <c r="C95" s="83" t="s">
        <v>1525</v>
      </c>
      <c r="D95" s="83"/>
      <c r="E95" s="83" t="s">
        <v>519</v>
      </c>
      <c r="F95" s="83" t="s">
        <v>353</v>
      </c>
      <c r="G95" s="83" t="s">
        <v>1077</v>
      </c>
      <c r="H95" s="83" t="s">
        <v>1076</v>
      </c>
      <c r="I95" s="83" t="s">
        <v>1643</v>
      </c>
      <c r="J95" s="86" t="s">
        <v>1676</v>
      </c>
      <c r="K95" s="86" t="s">
        <v>53</v>
      </c>
      <c r="L95" s="201">
        <v>43709</v>
      </c>
      <c r="M95" s="201">
        <v>44530</v>
      </c>
      <c r="N95" s="84">
        <v>56666</v>
      </c>
      <c r="O95" s="84">
        <v>18886.7778</v>
      </c>
    </row>
    <row r="96" spans="1:15" ht="15.75">
      <c r="A96" s="83">
        <v>507776</v>
      </c>
      <c r="B96" s="83">
        <v>208628</v>
      </c>
      <c r="C96" s="83" t="s">
        <v>1526</v>
      </c>
      <c r="D96" s="83" t="s">
        <v>2057</v>
      </c>
      <c r="E96" s="83" t="s">
        <v>519</v>
      </c>
      <c r="F96" s="83" t="s">
        <v>353</v>
      </c>
      <c r="G96" s="83" t="s">
        <v>1083</v>
      </c>
      <c r="H96" s="83" t="s">
        <v>1082</v>
      </c>
      <c r="I96" s="83" t="s">
        <v>1677</v>
      </c>
      <c r="J96" s="97" t="s">
        <v>1678</v>
      </c>
      <c r="K96" s="86" t="s">
        <v>53</v>
      </c>
      <c r="L96" s="201">
        <v>43709</v>
      </c>
      <c r="M96" s="201">
        <v>44530</v>
      </c>
      <c r="N96" s="84">
        <v>26666</v>
      </c>
      <c r="O96" s="84">
        <v>8887.7777999999998</v>
      </c>
    </row>
    <row r="97" spans="1:15" ht="15.75">
      <c r="A97" s="83">
        <v>507776</v>
      </c>
      <c r="B97" s="83">
        <v>208628</v>
      </c>
      <c r="C97" s="83" t="s">
        <v>1526</v>
      </c>
      <c r="D97" s="83"/>
      <c r="E97" s="83" t="s">
        <v>519</v>
      </c>
      <c r="F97" s="83" t="s">
        <v>353</v>
      </c>
      <c r="G97" s="83" t="s">
        <v>1083</v>
      </c>
      <c r="H97" s="83" t="s">
        <v>1082</v>
      </c>
      <c r="I97" s="83" t="s">
        <v>1677</v>
      </c>
      <c r="J97" s="86" t="s">
        <v>1679</v>
      </c>
      <c r="K97" s="86" t="s">
        <v>53</v>
      </c>
      <c r="L97" s="201">
        <v>43709</v>
      </c>
      <c r="M97" s="201">
        <v>44530</v>
      </c>
      <c r="N97" s="84">
        <v>56668</v>
      </c>
      <c r="O97" s="84">
        <v>18887.4444</v>
      </c>
    </row>
    <row r="98" spans="1:15" ht="15.75">
      <c r="A98" s="83">
        <v>507776</v>
      </c>
      <c r="B98" s="83">
        <v>208808</v>
      </c>
      <c r="C98" s="83" t="s">
        <v>1527</v>
      </c>
      <c r="D98" s="83" t="s">
        <v>2057</v>
      </c>
      <c r="E98" s="83" t="s">
        <v>519</v>
      </c>
      <c r="F98" s="83" t="s">
        <v>353</v>
      </c>
      <c r="G98" s="83" t="s">
        <v>1124</v>
      </c>
      <c r="H98" s="83" t="s">
        <v>1123</v>
      </c>
      <c r="I98" s="83" t="s">
        <v>1680</v>
      </c>
      <c r="J98" s="97" t="s">
        <v>414</v>
      </c>
      <c r="K98" s="86" t="s">
        <v>53</v>
      </c>
      <c r="L98" s="201">
        <v>43709</v>
      </c>
      <c r="M98" s="201">
        <v>44530</v>
      </c>
      <c r="N98" s="84">
        <v>22400</v>
      </c>
      <c r="O98" s="84">
        <v>7465.92</v>
      </c>
    </row>
    <row r="99" spans="1:15" ht="15.75">
      <c r="A99" s="83">
        <v>507776</v>
      </c>
      <c r="B99" s="83">
        <v>208808</v>
      </c>
      <c r="C99" s="83" t="s">
        <v>1527</v>
      </c>
      <c r="D99" s="83"/>
      <c r="E99" s="83" t="s">
        <v>519</v>
      </c>
      <c r="F99" s="83" t="s">
        <v>353</v>
      </c>
      <c r="G99" s="83" t="s">
        <v>1124</v>
      </c>
      <c r="H99" s="83" t="s">
        <v>1123</v>
      </c>
      <c r="I99" s="83" t="s">
        <v>1680</v>
      </c>
      <c r="J99" s="86" t="s">
        <v>1681</v>
      </c>
      <c r="K99" s="86" t="s">
        <v>53</v>
      </c>
      <c r="L99" s="201">
        <v>43709</v>
      </c>
      <c r="M99" s="201">
        <v>44530</v>
      </c>
      <c r="N99" s="93">
        <v>47600</v>
      </c>
      <c r="O99" s="93">
        <v>15865.08</v>
      </c>
    </row>
    <row r="100" spans="1:15" ht="15.75">
      <c r="A100" s="83">
        <v>507776</v>
      </c>
      <c r="B100" s="83">
        <v>209476</v>
      </c>
      <c r="C100" s="83" t="s">
        <v>1528</v>
      </c>
      <c r="D100" s="83" t="s">
        <v>2057</v>
      </c>
      <c r="E100" s="83" t="s">
        <v>519</v>
      </c>
      <c r="F100" s="83" t="s">
        <v>353</v>
      </c>
      <c r="G100" s="83" t="s">
        <v>671</v>
      </c>
      <c r="H100" s="83" t="s">
        <v>1205</v>
      </c>
      <c r="I100" s="83" t="s">
        <v>1682</v>
      </c>
      <c r="J100" s="97" t="s">
        <v>415</v>
      </c>
      <c r="K100" s="88" t="s">
        <v>46</v>
      </c>
      <c r="L100" s="201">
        <v>43709</v>
      </c>
      <c r="M100" s="201">
        <v>44530</v>
      </c>
      <c r="N100" s="84">
        <v>22400</v>
      </c>
      <c r="O100" s="84">
        <v>7465.92</v>
      </c>
    </row>
    <row r="101" spans="1:15" ht="15.75">
      <c r="A101" s="83">
        <v>507776</v>
      </c>
      <c r="B101" s="83">
        <v>209476</v>
      </c>
      <c r="C101" s="83" t="s">
        <v>1528</v>
      </c>
      <c r="D101" s="83"/>
      <c r="E101" s="83" t="s">
        <v>519</v>
      </c>
      <c r="F101" s="83" t="s">
        <v>353</v>
      </c>
      <c r="G101" s="83" t="s">
        <v>671</v>
      </c>
      <c r="H101" s="83" t="s">
        <v>1205</v>
      </c>
      <c r="I101" s="83" t="s">
        <v>1682</v>
      </c>
      <c r="J101" s="86" t="s">
        <v>1683</v>
      </c>
      <c r="K101" s="88" t="s">
        <v>46</v>
      </c>
      <c r="L101" s="201">
        <v>43709</v>
      </c>
      <c r="M101" s="201">
        <v>44530</v>
      </c>
      <c r="N101" s="84">
        <v>47600</v>
      </c>
      <c r="O101" s="84">
        <v>15865.08</v>
      </c>
    </row>
    <row r="102" spans="1:15" ht="15.75">
      <c r="A102" s="83">
        <v>507776</v>
      </c>
      <c r="B102" s="83">
        <v>209711</v>
      </c>
      <c r="C102" s="83" t="s">
        <v>1529</v>
      </c>
      <c r="D102" s="83" t="s">
        <v>2057</v>
      </c>
      <c r="E102" s="83" t="s">
        <v>519</v>
      </c>
      <c r="F102" s="83" t="s">
        <v>353</v>
      </c>
      <c r="G102" s="83" t="s">
        <v>1215</v>
      </c>
      <c r="H102" s="83" t="s">
        <v>1214</v>
      </c>
      <c r="I102" s="83" t="s">
        <v>1684</v>
      </c>
      <c r="J102" s="97" t="s">
        <v>420</v>
      </c>
      <c r="K102" s="86" t="s">
        <v>53</v>
      </c>
      <c r="L102" s="201">
        <v>43709</v>
      </c>
      <c r="M102" s="201">
        <v>44530</v>
      </c>
      <c r="N102" s="84">
        <v>26667</v>
      </c>
      <c r="O102" s="84">
        <v>8888.1111000000001</v>
      </c>
    </row>
    <row r="103" spans="1:15" ht="15.75">
      <c r="A103" s="83">
        <v>507776</v>
      </c>
      <c r="B103" s="83">
        <v>209711</v>
      </c>
      <c r="C103" s="83" t="s">
        <v>1529</v>
      </c>
      <c r="D103" s="83"/>
      <c r="E103" s="83" t="s">
        <v>519</v>
      </c>
      <c r="F103" s="83" t="s">
        <v>353</v>
      </c>
      <c r="G103" s="83" t="s">
        <v>1215</v>
      </c>
      <c r="H103" s="83" t="s">
        <v>1214</v>
      </c>
      <c r="I103" s="83" t="s">
        <v>1684</v>
      </c>
      <c r="J103" s="86" t="s">
        <v>1685</v>
      </c>
      <c r="K103" s="86" t="s">
        <v>53</v>
      </c>
      <c r="L103" s="201">
        <v>43709</v>
      </c>
      <c r="M103" s="201">
        <v>44530</v>
      </c>
      <c r="N103" s="84">
        <v>56666</v>
      </c>
      <c r="O103" s="84">
        <v>18886.7778</v>
      </c>
    </row>
    <row r="104" spans="1:15" ht="15.75">
      <c r="A104" s="83">
        <v>507776</v>
      </c>
      <c r="B104" s="83">
        <v>211377</v>
      </c>
      <c r="C104" s="83" t="s">
        <v>1530</v>
      </c>
      <c r="D104" s="83" t="s">
        <v>2057</v>
      </c>
      <c r="E104" s="83" t="s">
        <v>519</v>
      </c>
      <c r="F104" s="83" t="s">
        <v>353</v>
      </c>
      <c r="G104" s="83" t="s">
        <v>1143</v>
      </c>
      <c r="H104" s="83" t="s">
        <v>1285</v>
      </c>
      <c r="I104" s="83" t="s">
        <v>1686</v>
      </c>
      <c r="J104" s="97" t="s">
        <v>413</v>
      </c>
      <c r="K104" s="86" t="s">
        <v>53</v>
      </c>
      <c r="L104" s="201">
        <v>43709</v>
      </c>
      <c r="M104" s="201">
        <v>44530</v>
      </c>
      <c r="N104" s="84">
        <v>19200</v>
      </c>
      <c r="O104" s="84">
        <v>6399.36</v>
      </c>
    </row>
    <row r="105" spans="1:15" ht="15.75">
      <c r="A105" s="83">
        <v>507776</v>
      </c>
      <c r="B105" s="83">
        <v>211377</v>
      </c>
      <c r="C105" s="83" t="s">
        <v>1530</v>
      </c>
      <c r="D105" s="83"/>
      <c r="E105" s="83" t="s">
        <v>519</v>
      </c>
      <c r="F105" s="83" t="s">
        <v>353</v>
      </c>
      <c r="G105" s="83" t="s">
        <v>1143</v>
      </c>
      <c r="H105" s="83" t="s">
        <v>1285</v>
      </c>
      <c r="I105" s="83" t="s">
        <v>1686</v>
      </c>
      <c r="J105" s="86" t="s">
        <v>1687</v>
      </c>
      <c r="K105" s="86" t="s">
        <v>53</v>
      </c>
      <c r="L105" s="201">
        <v>43709</v>
      </c>
      <c r="M105" s="201">
        <v>44530</v>
      </c>
      <c r="N105" s="93">
        <v>40800</v>
      </c>
      <c r="O105" s="93">
        <v>13598.64</v>
      </c>
    </row>
    <row r="106" spans="1:15" ht="15.75">
      <c r="A106" s="83">
        <v>507776</v>
      </c>
      <c r="B106" s="83">
        <v>211963</v>
      </c>
      <c r="C106" s="83" t="s">
        <v>1531</v>
      </c>
      <c r="D106" s="83" t="s">
        <v>2057</v>
      </c>
      <c r="E106" s="83" t="s">
        <v>519</v>
      </c>
      <c r="F106" s="83" t="s">
        <v>353</v>
      </c>
      <c r="G106" s="83" t="s">
        <v>1315</v>
      </c>
      <c r="H106" s="83" t="s">
        <v>1314</v>
      </c>
      <c r="I106" s="83" t="s">
        <v>1656</v>
      </c>
      <c r="J106" s="97" t="s">
        <v>372</v>
      </c>
      <c r="K106" s="88" t="s">
        <v>46</v>
      </c>
      <c r="L106" s="201">
        <v>43709</v>
      </c>
      <c r="M106" s="201">
        <v>44530</v>
      </c>
      <c r="N106" s="84">
        <v>16000</v>
      </c>
      <c r="O106" s="84">
        <v>5332.8</v>
      </c>
    </row>
    <row r="107" spans="1:15" ht="15.75">
      <c r="A107" s="83">
        <v>507776</v>
      </c>
      <c r="B107" s="83">
        <v>211963</v>
      </c>
      <c r="C107" s="83" t="s">
        <v>1531</v>
      </c>
      <c r="D107" s="83"/>
      <c r="E107" s="83" t="s">
        <v>519</v>
      </c>
      <c r="F107" s="83" t="s">
        <v>353</v>
      </c>
      <c r="G107" s="83" t="s">
        <v>1315</v>
      </c>
      <c r="H107" s="83" t="s">
        <v>1314</v>
      </c>
      <c r="I107" s="83" t="s">
        <v>1656</v>
      </c>
      <c r="J107" s="86" t="s">
        <v>1688</v>
      </c>
      <c r="K107" s="88" t="s">
        <v>46</v>
      </c>
      <c r="L107" s="201">
        <v>43709</v>
      </c>
      <c r="M107" s="201">
        <v>44530</v>
      </c>
      <c r="N107" s="84">
        <v>34000</v>
      </c>
      <c r="O107" s="84">
        <v>11332.199999999999</v>
      </c>
    </row>
    <row r="108" spans="1:15" ht="15.75">
      <c r="A108" s="83">
        <v>507777</v>
      </c>
      <c r="B108" s="83">
        <v>203561</v>
      </c>
      <c r="C108" s="83" t="s">
        <v>1532</v>
      </c>
      <c r="D108" s="83" t="s">
        <v>2057</v>
      </c>
      <c r="E108" s="83" t="s">
        <v>519</v>
      </c>
      <c r="F108" s="83" t="s">
        <v>353</v>
      </c>
      <c r="G108" s="83" t="s">
        <v>764</v>
      </c>
      <c r="H108" s="83" t="s">
        <v>763</v>
      </c>
      <c r="I108" s="83" t="s">
        <v>1689</v>
      </c>
      <c r="J108" s="83" t="s">
        <v>425</v>
      </c>
      <c r="K108" s="86" t="s">
        <v>53</v>
      </c>
      <c r="L108" s="201">
        <v>43709</v>
      </c>
      <c r="M108" s="201">
        <v>44530</v>
      </c>
      <c r="N108" s="84">
        <v>28475</v>
      </c>
      <c r="O108" s="84">
        <v>9490.7174999999988</v>
      </c>
    </row>
    <row r="109" spans="1:15" ht="15.75">
      <c r="A109" s="83">
        <v>507777</v>
      </c>
      <c r="B109" s="83">
        <v>203561</v>
      </c>
      <c r="C109" s="83" t="s">
        <v>1532</v>
      </c>
      <c r="D109" s="83"/>
      <c r="E109" s="83" t="s">
        <v>519</v>
      </c>
      <c r="F109" s="83" t="s">
        <v>353</v>
      </c>
      <c r="G109" s="83" t="s">
        <v>764</v>
      </c>
      <c r="H109" s="83" t="s">
        <v>763</v>
      </c>
      <c r="I109" s="83" t="s">
        <v>1689</v>
      </c>
      <c r="J109" s="86" t="s">
        <v>1690</v>
      </c>
      <c r="K109" s="86" t="s">
        <v>53</v>
      </c>
      <c r="L109" s="201">
        <v>43709</v>
      </c>
      <c r="M109" s="201">
        <v>44530</v>
      </c>
      <c r="N109" s="93">
        <v>60589</v>
      </c>
      <c r="O109" s="84">
        <v>20194.313699999999</v>
      </c>
    </row>
    <row r="110" spans="1:15" ht="15.75">
      <c r="A110" s="83">
        <v>507777</v>
      </c>
      <c r="B110" s="83">
        <v>203628</v>
      </c>
      <c r="C110" s="83" t="s">
        <v>1533</v>
      </c>
      <c r="D110" s="83" t="s">
        <v>2057</v>
      </c>
      <c r="E110" s="83" t="s">
        <v>519</v>
      </c>
      <c r="F110" s="83" t="s">
        <v>353</v>
      </c>
      <c r="G110" s="83" t="s">
        <v>779</v>
      </c>
      <c r="H110" s="83" t="s">
        <v>778</v>
      </c>
      <c r="I110" s="83" t="s">
        <v>1691</v>
      </c>
      <c r="J110" s="83" t="s">
        <v>1692</v>
      </c>
      <c r="K110" s="86" t="s">
        <v>53</v>
      </c>
      <c r="L110" s="201">
        <v>43709</v>
      </c>
      <c r="M110" s="201">
        <v>44530</v>
      </c>
      <c r="N110" s="84">
        <v>64686</v>
      </c>
      <c r="O110" s="84">
        <v>21559.843799999999</v>
      </c>
    </row>
    <row r="111" spans="1:15" ht="15.75">
      <c r="A111" s="83">
        <v>507777</v>
      </c>
      <c r="B111" s="83">
        <v>203628</v>
      </c>
      <c r="C111" s="83" t="s">
        <v>1533</v>
      </c>
      <c r="D111" s="83"/>
      <c r="E111" s="83" t="s">
        <v>519</v>
      </c>
      <c r="F111" s="83" t="s">
        <v>353</v>
      </c>
      <c r="G111" s="83" t="s">
        <v>779</v>
      </c>
      <c r="H111" s="83" t="s">
        <v>778</v>
      </c>
      <c r="I111" s="83" t="s">
        <v>1691</v>
      </c>
      <c r="J111" s="86" t="s">
        <v>1693</v>
      </c>
      <c r="K111" s="86" t="s">
        <v>53</v>
      </c>
      <c r="L111" s="201">
        <v>43709</v>
      </c>
      <c r="M111" s="201">
        <v>44530</v>
      </c>
      <c r="N111" s="84">
        <v>136844</v>
      </c>
      <c r="O111" s="84">
        <v>45610.105199999998</v>
      </c>
    </row>
    <row r="112" spans="1:15" ht="15.75">
      <c r="A112" s="83">
        <v>507777</v>
      </c>
      <c r="B112" s="83">
        <v>206121</v>
      </c>
      <c r="C112" s="83" t="s">
        <v>1534</v>
      </c>
      <c r="D112" s="83" t="s">
        <v>2057</v>
      </c>
      <c r="E112" s="83" t="s">
        <v>519</v>
      </c>
      <c r="F112" s="83" t="s">
        <v>353</v>
      </c>
      <c r="G112" s="83" t="s">
        <v>865</v>
      </c>
      <c r="H112" s="83" t="s">
        <v>864</v>
      </c>
      <c r="I112" s="83" t="s">
        <v>1694</v>
      </c>
      <c r="J112" s="83" t="s">
        <v>422</v>
      </c>
      <c r="K112" s="88" t="s">
        <v>46</v>
      </c>
      <c r="L112" s="201">
        <v>43709</v>
      </c>
      <c r="M112" s="201">
        <v>44530</v>
      </c>
      <c r="N112" s="84">
        <v>34260</v>
      </c>
      <c r="O112" s="84">
        <v>11418.858</v>
      </c>
    </row>
    <row r="113" spans="1:15" ht="15.75">
      <c r="A113" s="83">
        <v>507777</v>
      </c>
      <c r="B113" s="83">
        <v>206121</v>
      </c>
      <c r="C113" s="83" t="s">
        <v>1534</v>
      </c>
      <c r="D113" s="83"/>
      <c r="E113" s="83" t="s">
        <v>519</v>
      </c>
      <c r="F113" s="83" t="s">
        <v>353</v>
      </c>
      <c r="G113" s="83" t="s">
        <v>865</v>
      </c>
      <c r="H113" s="83" t="s">
        <v>864</v>
      </c>
      <c r="I113" s="83" t="s">
        <v>1694</v>
      </c>
      <c r="J113" s="86" t="s">
        <v>1695</v>
      </c>
      <c r="K113" s="88" t="s">
        <v>46</v>
      </c>
      <c r="L113" s="201">
        <v>43709</v>
      </c>
      <c r="M113" s="201">
        <v>44530</v>
      </c>
      <c r="N113" s="84">
        <v>80580</v>
      </c>
      <c r="O113" s="84">
        <v>26857.313999999998</v>
      </c>
    </row>
    <row r="114" spans="1:15" ht="15.75">
      <c r="A114" s="83">
        <v>507777</v>
      </c>
      <c r="B114" s="83">
        <v>206470</v>
      </c>
      <c r="C114" s="83" t="s">
        <v>1535</v>
      </c>
      <c r="D114" s="83" t="s">
        <v>2057</v>
      </c>
      <c r="E114" s="83" t="s">
        <v>519</v>
      </c>
      <c r="F114" s="83" t="s">
        <v>353</v>
      </c>
      <c r="G114" s="83" t="s">
        <v>901</v>
      </c>
      <c r="H114" s="83" t="s">
        <v>900</v>
      </c>
      <c r="I114" s="83" t="s">
        <v>1696</v>
      </c>
      <c r="J114" s="83" t="s">
        <v>421</v>
      </c>
      <c r="K114" s="88" t="s">
        <v>46</v>
      </c>
      <c r="L114" s="201">
        <v>43709</v>
      </c>
      <c r="M114" s="201">
        <v>44530</v>
      </c>
      <c r="N114" s="84">
        <v>17265</v>
      </c>
      <c r="O114" s="84">
        <v>5754.4245000000001</v>
      </c>
    </row>
    <row r="115" spans="1:15" ht="15.75">
      <c r="A115" s="83">
        <v>507777</v>
      </c>
      <c r="B115" s="83">
        <v>206470</v>
      </c>
      <c r="C115" s="83" t="s">
        <v>1535</v>
      </c>
      <c r="D115" s="83"/>
      <c r="E115" s="83" t="s">
        <v>519</v>
      </c>
      <c r="F115" s="83" t="s">
        <v>353</v>
      </c>
      <c r="G115" s="83" t="s">
        <v>901</v>
      </c>
      <c r="H115" s="83" t="s">
        <v>900</v>
      </c>
      <c r="I115" s="83" t="s">
        <v>1696</v>
      </c>
      <c r="J115" s="86" t="s">
        <v>1697</v>
      </c>
      <c r="K115" s="88" t="s">
        <v>46</v>
      </c>
      <c r="L115" s="201">
        <v>43709</v>
      </c>
      <c r="M115" s="201">
        <v>44530</v>
      </c>
      <c r="N115" s="84">
        <v>36735</v>
      </c>
      <c r="O115" s="84">
        <v>12243.7755</v>
      </c>
    </row>
    <row r="116" spans="1:15" ht="15.75">
      <c r="A116" s="83">
        <v>507777</v>
      </c>
      <c r="B116" s="83">
        <v>208815</v>
      </c>
      <c r="C116" s="83" t="s">
        <v>1536</v>
      </c>
      <c r="D116" s="83" t="s">
        <v>2057</v>
      </c>
      <c r="E116" s="83" t="s">
        <v>519</v>
      </c>
      <c r="F116" s="83" t="s">
        <v>353</v>
      </c>
      <c r="G116" s="83" t="s">
        <v>1139</v>
      </c>
      <c r="H116" s="83" t="s">
        <v>1138</v>
      </c>
      <c r="I116" s="83" t="s">
        <v>1698</v>
      </c>
      <c r="J116" s="83" t="s">
        <v>423</v>
      </c>
      <c r="K116" s="86" t="s">
        <v>53</v>
      </c>
      <c r="L116" s="201">
        <v>43709</v>
      </c>
      <c r="M116" s="201">
        <v>44530</v>
      </c>
      <c r="N116" s="84">
        <v>15314</v>
      </c>
      <c r="O116" s="84">
        <v>5104.1561999999994</v>
      </c>
    </row>
    <row r="117" spans="1:15" ht="15.75">
      <c r="A117" s="83">
        <v>507777</v>
      </c>
      <c r="B117" s="83">
        <v>208815</v>
      </c>
      <c r="C117" s="83" t="s">
        <v>1536</v>
      </c>
      <c r="D117" s="83"/>
      <c r="E117" s="83" t="s">
        <v>519</v>
      </c>
      <c r="F117" s="83" t="s">
        <v>353</v>
      </c>
      <c r="G117" s="83" t="s">
        <v>1139</v>
      </c>
      <c r="H117" s="83" t="s">
        <v>1138</v>
      </c>
      <c r="I117" s="83" t="s">
        <v>1698</v>
      </c>
      <c r="J117" s="86" t="s">
        <v>1699</v>
      </c>
      <c r="K117" s="86" t="s">
        <v>53</v>
      </c>
      <c r="L117" s="201">
        <v>43709</v>
      </c>
      <c r="M117" s="201">
        <v>44530</v>
      </c>
      <c r="N117" s="84">
        <v>32926</v>
      </c>
      <c r="O117" s="84">
        <v>10974.2358</v>
      </c>
    </row>
    <row r="118" spans="1:15" ht="15.75">
      <c r="A118" s="83">
        <v>507778</v>
      </c>
      <c r="B118" s="83">
        <v>207444</v>
      </c>
      <c r="C118" s="83" t="s">
        <v>1537</v>
      </c>
      <c r="D118" s="83"/>
      <c r="E118" s="83" t="s">
        <v>519</v>
      </c>
      <c r="F118" s="83" t="s">
        <v>353</v>
      </c>
      <c r="G118" s="83" t="s">
        <v>962</v>
      </c>
      <c r="H118" s="83" t="s">
        <v>961</v>
      </c>
      <c r="I118" s="83" t="s">
        <v>1652</v>
      </c>
      <c r="J118" s="86" t="s">
        <v>1700</v>
      </c>
      <c r="K118" s="88" t="s">
        <v>46</v>
      </c>
      <c r="L118" s="201">
        <v>43709</v>
      </c>
      <c r="M118" s="201">
        <v>44530</v>
      </c>
      <c r="N118" s="84">
        <v>50000</v>
      </c>
      <c r="O118" s="84">
        <v>16665</v>
      </c>
    </row>
    <row r="119" spans="1:15" ht="15.75">
      <c r="A119" s="83">
        <v>507778</v>
      </c>
      <c r="B119" s="83">
        <v>210089</v>
      </c>
      <c r="C119" s="83" t="s">
        <v>1538</v>
      </c>
      <c r="D119" s="83" t="s">
        <v>2057</v>
      </c>
      <c r="E119" s="83" t="s">
        <v>519</v>
      </c>
      <c r="F119" s="83" t="s">
        <v>353</v>
      </c>
      <c r="G119" s="83" t="s">
        <v>1237</v>
      </c>
      <c r="H119" s="83" t="s">
        <v>1236</v>
      </c>
      <c r="I119" s="83" t="s">
        <v>1577</v>
      </c>
      <c r="J119" s="97" t="s">
        <v>428</v>
      </c>
      <c r="K119" s="86" t="s">
        <v>82</v>
      </c>
      <c r="L119" s="201">
        <v>43709</v>
      </c>
      <c r="M119" s="201">
        <v>44530</v>
      </c>
      <c r="N119" s="84">
        <v>80000</v>
      </c>
      <c r="O119" s="84">
        <v>26664</v>
      </c>
    </row>
    <row r="120" spans="1:15" ht="15.75">
      <c r="A120" s="83">
        <v>507778</v>
      </c>
      <c r="B120" s="83">
        <v>210089</v>
      </c>
      <c r="C120" s="83" t="s">
        <v>1538</v>
      </c>
      <c r="D120" s="83"/>
      <c r="E120" s="83" t="s">
        <v>519</v>
      </c>
      <c r="F120" s="83" t="s">
        <v>353</v>
      </c>
      <c r="G120" s="83" t="s">
        <v>1237</v>
      </c>
      <c r="H120" s="83" t="s">
        <v>1236</v>
      </c>
      <c r="I120" s="83" t="s">
        <v>1577</v>
      </c>
      <c r="J120" s="86" t="s">
        <v>1701</v>
      </c>
      <c r="K120" s="86" t="s">
        <v>82</v>
      </c>
      <c r="L120" s="201">
        <v>43709</v>
      </c>
      <c r="M120" s="201">
        <v>44530</v>
      </c>
      <c r="N120" s="84">
        <v>89000</v>
      </c>
      <c r="O120" s="84">
        <v>29663.699999999997</v>
      </c>
    </row>
    <row r="121" spans="1:15" ht="15.75">
      <c r="A121" s="83">
        <v>507778</v>
      </c>
      <c r="B121" s="83">
        <v>210174</v>
      </c>
      <c r="C121" s="83" t="s">
        <v>1539</v>
      </c>
      <c r="D121" s="83"/>
      <c r="E121" s="83" t="s">
        <v>519</v>
      </c>
      <c r="F121" s="83" t="s">
        <v>353</v>
      </c>
      <c r="G121" s="83" t="s">
        <v>1241</v>
      </c>
      <c r="H121" s="83" t="s">
        <v>1240</v>
      </c>
      <c r="I121" s="83" t="s">
        <v>1659</v>
      </c>
      <c r="J121" s="86" t="s">
        <v>1702</v>
      </c>
      <c r="K121" s="88" t="s">
        <v>46</v>
      </c>
      <c r="L121" s="201">
        <v>43709</v>
      </c>
      <c r="M121" s="201">
        <v>44530</v>
      </c>
      <c r="N121" s="84">
        <v>66000</v>
      </c>
      <c r="O121" s="84">
        <v>21997.8</v>
      </c>
    </row>
    <row r="122" spans="1:15" ht="15.75">
      <c r="A122" s="83">
        <v>507778</v>
      </c>
      <c r="B122" s="83">
        <v>211058</v>
      </c>
      <c r="C122" s="83" t="s">
        <v>1540</v>
      </c>
      <c r="D122" s="83"/>
      <c r="E122" s="83" t="s">
        <v>519</v>
      </c>
      <c r="F122" s="83" t="s">
        <v>353</v>
      </c>
      <c r="G122" s="83" t="s">
        <v>1253</v>
      </c>
      <c r="H122" s="83" t="s">
        <v>1252</v>
      </c>
      <c r="I122" s="83" t="s">
        <v>1703</v>
      </c>
      <c r="J122" s="86" t="s">
        <v>1704</v>
      </c>
      <c r="K122" s="88" t="s">
        <v>46</v>
      </c>
      <c r="L122" s="201">
        <v>43709</v>
      </c>
      <c r="M122" s="201">
        <v>44530</v>
      </c>
      <c r="N122" s="84">
        <v>76000</v>
      </c>
      <c r="O122" s="84">
        <v>25330.799999999999</v>
      </c>
    </row>
    <row r="123" spans="1:15" ht="15.75">
      <c r="A123" s="83">
        <v>507778</v>
      </c>
      <c r="B123" s="83">
        <v>212343</v>
      </c>
      <c r="C123" s="83" t="s">
        <v>1541</v>
      </c>
      <c r="D123" s="83" t="s">
        <v>2057</v>
      </c>
      <c r="E123" s="83" t="s">
        <v>519</v>
      </c>
      <c r="F123" s="83" t="s">
        <v>353</v>
      </c>
      <c r="G123" s="83" t="s">
        <v>1343</v>
      </c>
      <c r="H123" s="83" t="s">
        <v>1342</v>
      </c>
      <c r="I123" s="83" t="s">
        <v>1705</v>
      </c>
      <c r="J123" s="97" t="s">
        <v>1706</v>
      </c>
      <c r="K123" s="86" t="s">
        <v>82</v>
      </c>
      <c r="L123" s="201">
        <v>43709</v>
      </c>
      <c r="M123" s="201">
        <v>44530</v>
      </c>
      <c r="N123" s="84">
        <v>80000</v>
      </c>
      <c r="O123" s="84">
        <v>26664</v>
      </c>
    </row>
    <row r="124" spans="1:15" ht="15.75">
      <c r="A124" s="83">
        <v>507778</v>
      </c>
      <c r="B124" s="83">
        <v>212343</v>
      </c>
      <c r="C124" s="83" t="s">
        <v>1541</v>
      </c>
      <c r="D124" s="83"/>
      <c r="E124" s="83" t="s">
        <v>519</v>
      </c>
      <c r="F124" s="83" t="s">
        <v>353</v>
      </c>
      <c r="G124" s="83" t="s">
        <v>1343</v>
      </c>
      <c r="H124" s="83" t="s">
        <v>1342</v>
      </c>
      <c r="I124" s="83" t="s">
        <v>1705</v>
      </c>
      <c r="J124" s="86" t="s">
        <v>1707</v>
      </c>
      <c r="K124" s="86" t="s">
        <v>82</v>
      </c>
      <c r="L124" s="201">
        <v>43709</v>
      </c>
      <c r="M124" s="201">
        <v>44530</v>
      </c>
      <c r="N124" s="84">
        <v>59000</v>
      </c>
      <c r="O124" s="84">
        <v>19664.7</v>
      </c>
    </row>
    <row r="125" spans="1:15" ht="15.75">
      <c r="A125" s="83">
        <v>507779</v>
      </c>
      <c r="B125" s="83">
        <v>200037</v>
      </c>
      <c r="C125" s="83" t="s">
        <v>1542</v>
      </c>
      <c r="D125" s="83"/>
      <c r="E125" s="83" t="s">
        <v>519</v>
      </c>
      <c r="F125" s="83" t="s">
        <v>353</v>
      </c>
      <c r="G125" s="83" t="s">
        <v>634</v>
      </c>
      <c r="H125" s="83" t="s">
        <v>633</v>
      </c>
      <c r="I125" s="83" t="s">
        <v>1708</v>
      </c>
      <c r="J125" s="86" t="s">
        <v>1709</v>
      </c>
      <c r="K125" s="86" t="s">
        <v>75</v>
      </c>
      <c r="L125" s="201">
        <v>43709</v>
      </c>
      <c r="M125" s="201">
        <v>44530</v>
      </c>
      <c r="N125" s="84">
        <v>95000</v>
      </c>
      <c r="O125" s="84">
        <v>31663.5</v>
      </c>
    </row>
    <row r="126" spans="1:15" ht="15.75">
      <c r="A126" s="83">
        <v>507779</v>
      </c>
      <c r="B126" s="83">
        <v>208609</v>
      </c>
      <c r="C126" s="83" t="s">
        <v>1543</v>
      </c>
      <c r="D126" s="83"/>
      <c r="E126" s="83" t="s">
        <v>519</v>
      </c>
      <c r="F126" s="83" t="s">
        <v>353</v>
      </c>
      <c r="G126" s="83" t="s">
        <v>1032</v>
      </c>
      <c r="H126" s="83" t="s">
        <v>1031</v>
      </c>
      <c r="I126" s="83" t="s">
        <v>1710</v>
      </c>
      <c r="J126" s="86" t="s">
        <v>1711</v>
      </c>
      <c r="K126" s="86" t="s">
        <v>82</v>
      </c>
      <c r="L126" s="201">
        <v>43709</v>
      </c>
      <c r="M126" s="201">
        <v>44530</v>
      </c>
      <c r="N126" s="84">
        <v>200000</v>
      </c>
      <c r="O126" s="84">
        <v>66660</v>
      </c>
    </row>
    <row r="127" spans="1:15" ht="15.75">
      <c r="A127" s="83">
        <v>507779</v>
      </c>
      <c r="B127" s="83">
        <v>208616</v>
      </c>
      <c r="C127" s="83" t="s">
        <v>1544</v>
      </c>
      <c r="D127" s="83"/>
      <c r="E127" s="83" t="s">
        <v>519</v>
      </c>
      <c r="F127" s="83" t="s">
        <v>353</v>
      </c>
      <c r="G127" s="83" t="s">
        <v>865</v>
      </c>
      <c r="H127" s="83" t="s">
        <v>1053</v>
      </c>
      <c r="I127" s="83" t="s">
        <v>1581</v>
      </c>
      <c r="J127" s="86" t="s">
        <v>1712</v>
      </c>
      <c r="K127" s="86" t="s">
        <v>53</v>
      </c>
      <c r="L127" s="201">
        <v>43709</v>
      </c>
      <c r="M127" s="201">
        <v>44530</v>
      </c>
      <c r="N127" s="84">
        <v>80000</v>
      </c>
      <c r="O127" s="84">
        <v>26664</v>
      </c>
    </row>
    <row r="128" spans="1:15" ht="15.75">
      <c r="A128" s="83">
        <v>507779</v>
      </c>
      <c r="B128" s="83">
        <v>208630</v>
      </c>
      <c r="C128" s="83" t="s">
        <v>1545</v>
      </c>
      <c r="D128" s="83"/>
      <c r="E128" s="83" t="s">
        <v>519</v>
      </c>
      <c r="F128" s="83" t="s">
        <v>353</v>
      </c>
      <c r="G128" s="83" t="s">
        <v>1089</v>
      </c>
      <c r="H128" s="83" t="s">
        <v>1088</v>
      </c>
      <c r="I128" s="83" t="s">
        <v>1713</v>
      </c>
      <c r="J128" s="86" t="s">
        <v>1714</v>
      </c>
      <c r="K128" s="86" t="s">
        <v>53</v>
      </c>
      <c r="L128" s="201">
        <v>43709</v>
      </c>
      <c r="M128" s="201">
        <v>44530</v>
      </c>
      <c r="N128" s="84">
        <v>75000</v>
      </c>
      <c r="O128" s="84">
        <v>24997.5</v>
      </c>
    </row>
    <row r="129" spans="1:15" ht="15.75">
      <c r="A129" s="83">
        <v>507779</v>
      </c>
      <c r="B129" s="83">
        <v>208631</v>
      </c>
      <c r="C129" s="83" t="s">
        <v>1546</v>
      </c>
      <c r="D129" s="83"/>
      <c r="E129" s="83" t="s">
        <v>519</v>
      </c>
      <c r="F129" s="83" t="s">
        <v>353</v>
      </c>
      <c r="G129" s="83" t="s">
        <v>1092</v>
      </c>
      <c r="H129" s="83" t="s">
        <v>1091</v>
      </c>
      <c r="I129" s="83" t="s">
        <v>1715</v>
      </c>
      <c r="J129" s="86" t="s">
        <v>1716</v>
      </c>
      <c r="K129" s="86" t="s">
        <v>53</v>
      </c>
      <c r="L129" s="201">
        <v>43709</v>
      </c>
      <c r="M129" s="201">
        <v>44530</v>
      </c>
      <c r="N129" s="84">
        <v>50000</v>
      </c>
      <c r="O129" s="84">
        <v>16665</v>
      </c>
    </row>
    <row r="130" spans="1:15" ht="15.75">
      <c r="A130" s="83">
        <v>507779</v>
      </c>
      <c r="B130" s="83">
        <v>208750</v>
      </c>
      <c r="C130" s="83" t="s">
        <v>1547</v>
      </c>
      <c r="D130" s="83"/>
      <c r="E130" s="83" t="s">
        <v>519</v>
      </c>
      <c r="F130" s="83" t="s">
        <v>353</v>
      </c>
      <c r="G130" s="83" t="s">
        <v>1116</v>
      </c>
      <c r="H130" s="83" t="s">
        <v>1115</v>
      </c>
      <c r="I130" s="83" t="s">
        <v>1717</v>
      </c>
      <c r="J130" s="86" t="s">
        <v>1718</v>
      </c>
      <c r="K130" s="86" t="s">
        <v>53</v>
      </c>
      <c r="L130" s="201">
        <v>43709</v>
      </c>
      <c r="M130" s="201">
        <v>44530</v>
      </c>
      <c r="N130" s="84">
        <v>70000</v>
      </c>
      <c r="O130" s="84">
        <v>23331</v>
      </c>
    </row>
    <row r="131" spans="1:15" ht="15.75">
      <c r="A131" s="83">
        <v>507779</v>
      </c>
      <c r="B131" s="83">
        <v>209346</v>
      </c>
      <c r="C131" s="83" t="s">
        <v>1548</v>
      </c>
      <c r="D131" s="83"/>
      <c r="E131" s="83" t="s">
        <v>519</v>
      </c>
      <c r="F131" s="83" t="s">
        <v>353</v>
      </c>
      <c r="G131" s="83" t="s">
        <v>1190</v>
      </c>
      <c r="H131" s="83" t="s">
        <v>1189</v>
      </c>
      <c r="I131" s="83" t="s">
        <v>1610</v>
      </c>
      <c r="J131" s="86" t="s">
        <v>1719</v>
      </c>
      <c r="K131" s="86" t="s">
        <v>53</v>
      </c>
      <c r="L131" s="201">
        <v>43709</v>
      </c>
      <c r="M131" s="201">
        <v>44530</v>
      </c>
      <c r="N131" s="84">
        <v>80000</v>
      </c>
      <c r="O131" s="84">
        <v>26664</v>
      </c>
    </row>
    <row r="132" spans="1:15" ht="15.75">
      <c r="A132" s="83">
        <v>507782</v>
      </c>
      <c r="B132" s="83">
        <v>202616</v>
      </c>
      <c r="C132" s="83" t="s">
        <v>2058</v>
      </c>
      <c r="D132" s="83"/>
      <c r="E132" s="83" t="s">
        <v>520</v>
      </c>
      <c r="F132" s="83" t="s">
        <v>6</v>
      </c>
      <c r="G132" s="83" t="s">
        <v>608</v>
      </c>
      <c r="H132" s="83" t="s">
        <v>738</v>
      </c>
      <c r="I132" s="83" t="s">
        <v>1720</v>
      </c>
      <c r="J132" s="97" t="s">
        <v>1721</v>
      </c>
      <c r="K132" s="88" t="s">
        <v>46</v>
      </c>
      <c r="L132" s="201">
        <v>43709</v>
      </c>
      <c r="M132" s="201">
        <v>44742</v>
      </c>
      <c r="N132" s="84">
        <v>300000</v>
      </c>
      <c r="O132" s="84">
        <v>99990</v>
      </c>
    </row>
    <row r="133" spans="1:15" ht="15.75">
      <c r="A133" s="83">
        <v>508292</v>
      </c>
      <c r="B133" s="83">
        <v>211058</v>
      </c>
      <c r="C133" s="83" t="s">
        <v>1550</v>
      </c>
      <c r="D133" s="83"/>
      <c r="E133" s="83" t="s">
        <v>519</v>
      </c>
      <c r="F133" s="83" t="s">
        <v>353</v>
      </c>
      <c r="G133" s="83" t="s">
        <v>1253</v>
      </c>
      <c r="H133" s="83" t="s">
        <v>1252</v>
      </c>
      <c r="I133" s="83" t="s">
        <v>1703</v>
      </c>
      <c r="J133" s="83" t="s">
        <v>1722</v>
      </c>
      <c r="K133" s="88" t="s">
        <v>46</v>
      </c>
      <c r="L133" s="201">
        <v>43709</v>
      </c>
      <c r="M133" s="201">
        <v>44530</v>
      </c>
      <c r="N133" s="84">
        <v>100000</v>
      </c>
      <c r="O133" s="93">
        <v>33330</v>
      </c>
    </row>
  </sheetData>
  <conditionalFormatting sqref="C1:C1048576">
    <cfRule type="duplicateValues" dxfId="33" priority="2"/>
  </conditionalFormatting>
  <conditionalFormatting sqref="C2:C133">
    <cfRule type="duplicateValues" dxfId="32" priority="1"/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2"/>
  <sheetViews>
    <sheetView topLeftCell="B130" workbookViewId="0">
      <selection activeCell="D148" sqref="D148"/>
    </sheetView>
  </sheetViews>
  <sheetFormatPr defaultColWidth="9.140625" defaultRowHeight="16.5"/>
  <cols>
    <col min="1" max="1" width="7.7109375" style="31" customWidth="1"/>
    <col min="2" max="2" width="7.42578125" style="31" customWidth="1"/>
    <col min="3" max="3" width="37.85546875" style="31" customWidth="1"/>
    <col min="4" max="4" width="35.85546875" style="32" customWidth="1"/>
    <col min="5" max="5" width="17.5703125" style="32" bestFit="1" customWidth="1"/>
    <col min="6" max="6" width="17.5703125" style="41" bestFit="1" customWidth="1"/>
    <col min="7" max="7" width="21.140625" style="41" bestFit="1" customWidth="1"/>
    <col min="8" max="8" width="23.42578125" style="32" bestFit="1" customWidth="1"/>
    <col min="9" max="9" width="20" style="32" bestFit="1" customWidth="1"/>
    <col min="10" max="16384" width="9.140625" style="1"/>
  </cols>
  <sheetData>
    <row r="1" spans="1:10" ht="17.25" thickBot="1">
      <c r="A1" s="81" t="s">
        <v>522</v>
      </c>
      <c r="B1" s="81" t="s">
        <v>525</v>
      </c>
      <c r="C1" s="81" t="s">
        <v>36</v>
      </c>
      <c r="D1" s="81" t="s">
        <v>1723</v>
      </c>
      <c r="E1" s="81" t="s">
        <v>39</v>
      </c>
      <c r="F1" s="81" t="s">
        <v>1724</v>
      </c>
      <c r="G1" s="81" t="s">
        <v>1725</v>
      </c>
      <c r="H1" s="82" t="s">
        <v>42</v>
      </c>
      <c r="I1" s="82" t="s">
        <v>43</v>
      </c>
      <c r="J1" s="43" t="s">
        <v>1726</v>
      </c>
    </row>
    <row r="2" spans="1:10" ht="17.25" hidden="1" thickTop="1">
      <c r="A2" s="44">
        <v>506485</v>
      </c>
      <c r="B2" s="45">
        <v>209461</v>
      </c>
      <c r="C2" s="31" t="s">
        <v>341</v>
      </c>
      <c r="D2" s="31" t="s">
        <v>1201</v>
      </c>
      <c r="E2" s="31" t="s">
        <v>53</v>
      </c>
      <c r="F2" s="46">
        <v>43466</v>
      </c>
      <c r="G2" s="40">
        <v>43830</v>
      </c>
      <c r="H2" s="36">
        <v>15000</v>
      </c>
      <c r="I2" s="36">
        <v>4999.5</v>
      </c>
    </row>
    <row r="3" spans="1:10" ht="17.25" thickTop="1">
      <c r="A3" s="31">
        <v>506485</v>
      </c>
      <c r="B3" s="31">
        <v>205554</v>
      </c>
      <c r="C3" s="31" t="s">
        <v>341</v>
      </c>
      <c r="D3" s="31" t="s">
        <v>824</v>
      </c>
      <c r="E3" s="31" t="s">
        <v>1727</v>
      </c>
      <c r="F3" s="46">
        <v>43466</v>
      </c>
      <c r="G3" s="40">
        <v>43830</v>
      </c>
      <c r="H3" s="36">
        <v>10000</v>
      </c>
      <c r="I3" s="36">
        <v>3333</v>
      </c>
    </row>
    <row r="4" spans="1:10">
      <c r="A4" s="32" t="s">
        <v>1728</v>
      </c>
      <c r="B4" s="33" t="s">
        <v>1729</v>
      </c>
      <c r="C4" s="33" t="s">
        <v>6</v>
      </c>
      <c r="D4" s="33" t="s">
        <v>1730</v>
      </c>
      <c r="E4" s="33" t="s">
        <v>1727</v>
      </c>
      <c r="F4" s="40">
        <v>43191</v>
      </c>
      <c r="G4" s="41">
        <v>43555</v>
      </c>
      <c r="H4" s="34">
        <v>809889</v>
      </c>
      <c r="I4" s="36">
        <v>269936.0037</v>
      </c>
    </row>
    <row r="5" spans="1:10">
      <c r="A5" s="32" t="s">
        <v>1731</v>
      </c>
      <c r="B5" s="33" t="s">
        <v>1729</v>
      </c>
      <c r="C5" s="33" t="s">
        <v>6</v>
      </c>
      <c r="D5" s="33" t="s">
        <v>1730</v>
      </c>
      <c r="E5" s="33" t="s">
        <v>1727</v>
      </c>
      <c r="F5" s="40">
        <v>43191</v>
      </c>
      <c r="G5" s="41">
        <v>43555</v>
      </c>
      <c r="H5" s="36">
        <v>522475</v>
      </c>
      <c r="I5" s="36">
        <v>174140.91749999998</v>
      </c>
    </row>
    <row r="6" spans="1:10">
      <c r="A6" s="31">
        <v>501380</v>
      </c>
      <c r="B6" s="31">
        <v>207636</v>
      </c>
      <c r="C6" s="31" t="s">
        <v>347</v>
      </c>
      <c r="D6" s="31" t="s">
        <v>181</v>
      </c>
      <c r="E6" s="31" t="s">
        <v>1727</v>
      </c>
      <c r="F6" s="46">
        <v>43344</v>
      </c>
      <c r="G6" s="40">
        <v>43708</v>
      </c>
      <c r="H6" s="36">
        <v>139525</v>
      </c>
      <c r="I6" s="36">
        <v>46503.682499999995</v>
      </c>
    </row>
    <row r="7" spans="1:10" hidden="1">
      <c r="A7" s="31">
        <v>501380</v>
      </c>
      <c r="B7" s="31">
        <v>212636</v>
      </c>
      <c r="C7" s="31" t="s">
        <v>347</v>
      </c>
      <c r="D7" s="31" t="s">
        <v>110</v>
      </c>
      <c r="E7" s="31" t="s">
        <v>53</v>
      </c>
      <c r="F7" s="46">
        <v>43344</v>
      </c>
      <c r="G7" s="40">
        <v>43708</v>
      </c>
      <c r="H7" s="36">
        <v>25000</v>
      </c>
      <c r="I7" s="36">
        <v>8332.5</v>
      </c>
    </row>
    <row r="8" spans="1:10" hidden="1">
      <c r="A8" s="31">
        <v>501380</v>
      </c>
      <c r="B8" s="31">
        <v>208728</v>
      </c>
      <c r="C8" s="31" t="s">
        <v>347</v>
      </c>
      <c r="D8" s="31" t="s">
        <v>71</v>
      </c>
      <c r="E8" s="31" t="s">
        <v>53</v>
      </c>
      <c r="F8" s="46">
        <v>43344</v>
      </c>
      <c r="G8" s="40">
        <v>43708</v>
      </c>
      <c r="H8" s="36">
        <v>24085</v>
      </c>
      <c r="I8" s="36">
        <v>8027.5304999999998</v>
      </c>
    </row>
    <row r="9" spans="1:10" hidden="1">
      <c r="A9" s="31">
        <v>501349</v>
      </c>
      <c r="B9" s="31">
        <v>208811</v>
      </c>
      <c r="C9" s="31" t="s">
        <v>347</v>
      </c>
      <c r="D9" s="31" t="s">
        <v>1134</v>
      </c>
      <c r="E9" s="31" t="s">
        <v>53</v>
      </c>
      <c r="F9" s="46">
        <v>43344</v>
      </c>
      <c r="G9" s="40">
        <v>43708</v>
      </c>
      <c r="H9" s="36">
        <v>100000</v>
      </c>
      <c r="I9" s="36">
        <v>33330</v>
      </c>
    </row>
    <row r="10" spans="1:10" hidden="1">
      <c r="A10" s="31">
        <v>501349</v>
      </c>
      <c r="B10" s="31">
        <v>208630</v>
      </c>
      <c r="C10" s="31" t="s">
        <v>347</v>
      </c>
      <c r="D10" s="31" t="s">
        <v>328</v>
      </c>
      <c r="E10" s="31" t="s">
        <v>53</v>
      </c>
      <c r="F10" s="46">
        <v>43344</v>
      </c>
      <c r="G10" s="40">
        <v>43708</v>
      </c>
      <c r="H10" s="36">
        <v>100000</v>
      </c>
      <c r="I10" s="36">
        <v>33330</v>
      </c>
    </row>
    <row r="11" spans="1:10" hidden="1">
      <c r="A11" s="31">
        <v>501349</v>
      </c>
      <c r="B11" s="31">
        <v>208631</v>
      </c>
      <c r="C11" s="31" t="s">
        <v>347</v>
      </c>
      <c r="D11" s="31" t="s">
        <v>330</v>
      </c>
      <c r="E11" s="31" t="s">
        <v>53</v>
      </c>
      <c r="F11" s="46">
        <v>43344</v>
      </c>
      <c r="G11" s="40">
        <v>43708</v>
      </c>
      <c r="H11" s="36">
        <v>216000</v>
      </c>
      <c r="I11" s="36">
        <v>71992.800000000003</v>
      </c>
    </row>
    <row r="12" spans="1:10" hidden="1">
      <c r="A12" s="31">
        <v>501349</v>
      </c>
      <c r="B12" s="31">
        <v>208609</v>
      </c>
      <c r="C12" s="31" t="s">
        <v>347</v>
      </c>
      <c r="D12" s="31" t="s">
        <v>332</v>
      </c>
      <c r="E12" s="31" t="s">
        <v>82</v>
      </c>
      <c r="F12" s="46">
        <v>43344</v>
      </c>
      <c r="G12" s="40">
        <v>43708</v>
      </c>
      <c r="H12" s="36">
        <v>90000</v>
      </c>
      <c r="I12" s="36">
        <v>29997</v>
      </c>
    </row>
    <row r="13" spans="1:10" hidden="1">
      <c r="A13" s="31">
        <v>501349</v>
      </c>
      <c r="B13" s="31">
        <v>208616</v>
      </c>
      <c r="C13" s="31" t="s">
        <v>347</v>
      </c>
      <c r="D13" s="31" t="s">
        <v>69</v>
      </c>
      <c r="E13" s="31" t="s">
        <v>53</v>
      </c>
      <c r="F13" s="46">
        <v>43344</v>
      </c>
      <c r="G13" s="40">
        <v>43708</v>
      </c>
      <c r="H13" s="36">
        <v>21100</v>
      </c>
      <c r="I13" s="36">
        <v>7032.63</v>
      </c>
    </row>
    <row r="14" spans="1:10">
      <c r="A14" s="31">
        <v>501349</v>
      </c>
      <c r="B14" s="31">
        <v>211134</v>
      </c>
      <c r="C14" s="31" t="s">
        <v>347</v>
      </c>
      <c r="D14" s="31" t="s">
        <v>1755</v>
      </c>
      <c r="E14" s="31" t="s">
        <v>1727</v>
      </c>
      <c r="F14" s="46">
        <v>43344</v>
      </c>
      <c r="G14" s="40">
        <v>43708</v>
      </c>
      <c r="H14" s="36">
        <v>15400</v>
      </c>
      <c r="I14" s="36">
        <v>5132.82</v>
      </c>
    </row>
    <row r="15" spans="1:10" hidden="1">
      <c r="A15" s="31">
        <v>501349</v>
      </c>
      <c r="B15" s="31">
        <v>200037</v>
      </c>
      <c r="C15" s="31" t="s">
        <v>347</v>
      </c>
      <c r="D15" s="31" t="s">
        <v>1760</v>
      </c>
      <c r="E15" s="31" t="s">
        <v>75</v>
      </c>
      <c r="F15" s="46">
        <v>43344</v>
      </c>
      <c r="G15" s="40">
        <v>43708</v>
      </c>
      <c r="H15" s="36">
        <v>100000</v>
      </c>
      <c r="I15" s="36">
        <v>33330</v>
      </c>
    </row>
    <row r="16" spans="1:10">
      <c r="A16" s="31">
        <v>501348</v>
      </c>
      <c r="B16" s="31">
        <v>211058</v>
      </c>
      <c r="C16" s="31" t="s">
        <v>347</v>
      </c>
      <c r="D16" s="31" t="s">
        <v>1734</v>
      </c>
      <c r="E16" s="31" t="s">
        <v>1727</v>
      </c>
      <c r="F16" s="46">
        <v>43344</v>
      </c>
      <c r="G16" s="40">
        <v>43708</v>
      </c>
      <c r="H16" s="36">
        <v>57000</v>
      </c>
      <c r="I16" s="36">
        <v>18998.099999999999</v>
      </c>
    </row>
    <row r="17" spans="1:9" hidden="1">
      <c r="A17" s="31">
        <v>501348</v>
      </c>
      <c r="B17" s="31">
        <v>211191</v>
      </c>
      <c r="C17" s="31" t="s">
        <v>347</v>
      </c>
      <c r="D17" s="31" t="s">
        <v>1740</v>
      </c>
      <c r="E17" s="31" t="s">
        <v>82</v>
      </c>
      <c r="F17" s="46">
        <v>43344</v>
      </c>
      <c r="G17" s="40">
        <v>43708</v>
      </c>
      <c r="H17" s="36">
        <v>116500</v>
      </c>
      <c r="I17" s="36">
        <v>38829.449999999997</v>
      </c>
    </row>
    <row r="18" spans="1:9" hidden="1">
      <c r="A18" s="31">
        <v>501348</v>
      </c>
      <c r="B18" s="31">
        <v>212183</v>
      </c>
      <c r="C18" s="31" t="s">
        <v>347</v>
      </c>
      <c r="D18" s="31" t="s">
        <v>94</v>
      </c>
      <c r="E18" s="31" t="s">
        <v>68</v>
      </c>
      <c r="F18" s="46">
        <v>43344</v>
      </c>
      <c r="G18" s="40">
        <v>43708</v>
      </c>
      <c r="H18" s="36">
        <v>97000</v>
      </c>
      <c r="I18" s="36">
        <v>32330.1</v>
      </c>
    </row>
    <row r="19" spans="1:9" hidden="1">
      <c r="A19" s="31">
        <v>501348</v>
      </c>
      <c r="B19" s="31">
        <v>211534</v>
      </c>
      <c r="C19" s="31" t="s">
        <v>347</v>
      </c>
      <c r="D19" s="31" t="s">
        <v>1297</v>
      </c>
      <c r="E19" s="31" t="s">
        <v>68</v>
      </c>
      <c r="F19" s="46">
        <v>43344</v>
      </c>
      <c r="G19" s="40">
        <v>43708</v>
      </c>
      <c r="H19" s="36">
        <v>25000</v>
      </c>
      <c r="I19" s="36">
        <v>8332.5</v>
      </c>
    </row>
    <row r="20" spans="1:9" hidden="1">
      <c r="A20" s="31">
        <v>501348</v>
      </c>
      <c r="B20" s="31">
        <v>212343</v>
      </c>
      <c r="C20" s="31" t="s">
        <v>347</v>
      </c>
      <c r="D20" s="31" t="s">
        <v>323</v>
      </c>
      <c r="E20" s="31" t="s">
        <v>82</v>
      </c>
      <c r="F20" s="46">
        <v>43344</v>
      </c>
      <c r="G20" s="40">
        <v>43708</v>
      </c>
      <c r="H20" s="36">
        <v>148000</v>
      </c>
      <c r="I20" s="36">
        <v>49328.399999999994</v>
      </c>
    </row>
    <row r="21" spans="1:9">
      <c r="A21" s="31">
        <v>501348</v>
      </c>
      <c r="B21" s="31">
        <v>207172</v>
      </c>
      <c r="C21" s="31" t="s">
        <v>347</v>
      </c>
      <c r="D21" s="31" t="s">
        <v>930</v>
      </c>
      <c r="E21" s="31" t="s">
        <v>1727</v>
      </c>
      <c r="F21" s="46">
        <v>43344</v>
      </c>
      <c r="G21" s="40">
        <v>43708</v>
      </c>
      <c r="H21" s="36">
        <v>25000</v>
      </c>
      <c r="I21" s="36">
        <v>8332.5</v>
      </c>
    </row>
    <row r="22" spans="1:9" hidden="1">
      <c r="A22" s="31">
        <v>501348</v>
      </c>
      <c r="B22" s="31">
        <v>208620</v>
      </c>
      <c r="C22" s="31" t="s">
        <v>347</v>
      </c>
      <c r="D22" s="31" t="s">
        <v>1070</v>
      </c>
      <c r="E22" s="31" t="s">
        <v>82</v>
      </c>
      <c r="F22" s="46">
        <v>43344</v>
      </c>
      <c r="G22" s="40">
        <v>43708</v>
      </c>
      <c r="H22" s="36">
        <v>43500</v>
      </c>
      <c r="I22" s="36">
        <v>14498.55</v>
      </c>
    </row>
    <row r="23" spans="1:9" hidden="1">
      <c r="A23" s="31">
        <v>501348</v>
      </c>
      <c r="B23" s="31">
        <v>210089</v>
      </c>
      <c r="C23" s="31" t="s">
        <v>347</v>
      </c>
      <c r="D23" s="31" t="s">
        <v>325</v>
      </c>
      <c r="E23" s="31" t="s">
        <v>82</v>
      </c>
      <c r="F23" s="46">
        <v>43344</v>
      </c>
      <c r="G23" s="40">
        <v>43708</v>
      </c>
      <c r="H23" s="36">
        <v>230671</v>
      </c>
      <c r="I23" s="36">
        <v>76882.6443</v>
      </c>
    </row>
    <row r="24" spans="1:9">
      <c r="A24" s="31">
        <v>501348</v>
      </c>
      <c r="B24" s="31">
        <v>203143</v>
      </c>
      <c r="C24" s="31" t="s">
        <v>347</v>
      </c>
      <c r="D24" s="31" t="s">
        <v>1759</v>
      </c>
      <c r="E24" s="31" t="s">
        <v>1727</v>
      </c>
      <c r="F24" s="46">
        <v>43344</v>
      </c>
      <c r="G24" s="40">
        <v>43708</v>
      </c>
      <c r="H24" s="36">
        <v>75000</v>
      </c>
      <c r="I24" s="36">
        <v>24997.5</v>
      </c>
    </row>
    <row r="25" spans="1:9">
      <c r="A25" s="31">
        <v>501347</v>
      </c>
      <c r="B25" s="31">
        <v>206121</v>
      </c>
      <c r="C25" s="31" t="s">
        <v>347</v>
      </c>
      <c r="D25" s="31" t="s">
        <v>310</v>
      </c>
      <c r="E25" s="31" t="s">
        <v>1727</v>
      </c>
      <c r="F25" s="46">
        <v>43344</v>
      </c>
      <c r="G25" s="40">
        <v>43708</v>
      </c>
      <c r="H25" s="36">
        <v>91511</v>
      </c>
      <c r="I25" s="36">
        <v>30500.616299999998</v>
      </c>
    </row>
    <row r="26" spans="1:9">
      <c r="A26" s="31">
        <v>501347</v>
      </c>
      <c r="B26" s="31">
        <v>206470</v>
      </c>
      <c r="C26" s="31" t="s">
        <v>347</v>
      </c>
      <c r="D26" s="31" t="s">
        <v>1735</v>
      </c>
      <c r="E26" s="31" t="s">
        <v>1727</v>
      </c>
      <c r="F26" s="46">
        <v>43344</v>
      </c>
      <c r="G26" s="40">
        <v>43708</v>
      </c>
      <c r="H26" s="36">
        <v>21900</v>
      </c>
      <c r="I26" s="36">
        <v>7299.2699999999995</v>
      </c>
    </row>
    <row r="27" spans="1:9" hidden="1">
      <c r="A27" s="47">
        <v>501347</v>
      </c>
      <c r="B27" s="48">
        <v>203561</v>
      </c>
      <c r="C27" s="47" t="s">
        <v>347</v>
      </c>
      <c r="D27" s="49" t="s">
        <v>1738</v>
      </c>
      <c r="E27" s="49" t="s">
        <v>53</v>
      </c>
      <c r="F27" s="50">
        <v>42979</v>
      </c>
      <c r="G27" s="50">
        <v>43343</v>
      </c>
      <c r="H27" s="51">
        <v>5000</v>
      </c>
      <c r="I27" s="51">
        <v>1666.5</v>
      </c>
    </row>
    <row r="28" spans="1:9">
      <c r="A28" s="31">
        <v>501347</v>
      </c>
      <c r="B28" s="31">
        <v>207636</v>
      </c>
      <c r="C28" s="31" t="s">
        <v>347</v>
      </c>
      <c r="D28" s="31" t="s">
        <v>181</v>
      </c>
      <c r="E28" s="31" t="s">
        <v>1727</v>
      </c>
      <c r="F28" s="46">
        <v>43344</v>
      </c>
      <c r="G28" s="40">
        <v>43708</v>
      </c>
      <c r="H28" s="36">
        <v>43000</v>
      </c>
      <c r="I28" s="36">
        <v>14331.9</v>
      </c>
    </row>
    <row r="29" spans="1:9" hidden="1">
      <c r="A29" s="31">
        <v>501347</v>
      </c>
      <c r="B29" s="31">
        <v>203561</v>
      </c>
      <c r="C29" s="31" t="s">
        <v>347</v>
      </c>
      <c r="D29" s="31" t="s">
        <v>317</v>
      </c>
      <c r="E29" s="31" t="s">
        <v>53</v>
      </c>
      <c r="F29" s="46">
        <v>43344</v>
      </c>
      <c r="G29" s="40">
        <v>43708</v>
      </c>
      <c r="H29" s="36">
        <v>80190</v>
      </c>
      <c r="I29" s="36">
        <v>26727.326999999997</v>
      </c>
    </row>
    <row r="30" spans="1:9" hidden="1">
      <c r="A30" s="47">
        <v>501347</v>
      </c>
      <c r="B30" s="48">
        <v>203561</v>
      </c>
      <c r="C30" s="47" t="s">
        <v>347</v>
      </c>
      <c r="D30" s="49" t="s">
        <v>1757</v>
      </c>
      <c r="E30" s="49" t="s">
        <v>53</v>
      </c>
      <c r="F30" s="50">
        <v>43344</v>
      </c>
      <c r="G30" s="50">
        <v>43708</v>
      </c>
      <c r="H30" s="51">
        <v>5000</v>
      </c>
      <c r="I30" s="51">
        <v>1666.5</v>
      </c>
    </row>
    <row r="31" spans="1:9">
      <c r="A31" s="31">
        <v>501346</v>
      </c>
      <c r="B31" s="31">
        <v>207150</v>
      </c>
      <c r="C31" s="31" t="s">
        <v>347</v>
      </c>
      <c r="D31" s="31" t="s">
        <v>1741</v>
      </c>
      <c r="E31" s="31" t="s">
        <v>1727</v>
      </c>
      <c r="F31" s="46">
        <v>43344</v>
      </c>
      <c r="G31" s="40">
        <v>43708</v>
      </c>
      <c r="H31" s="36">
        <v>46000</v>
      </c>
      <c r="I31" s="36">
        <v>15331.8</v>
      </c>
    </row>
    <row r="32" spans="1:9" hidden="1">
      <c r="A32" s="31">
        <v>501346</v>
      </c>
      <c r="B32" s="31">
        <v>212317</v>
      </c>
      <c r="C32" s="31" t="s">
        <v>347</v>
      </c>
      <c r="D32" s="31" t="s">
        <v>1338</v>
      </c>
      <c r="E32" s="31" t="s">
        <v>82</v>
      </c>
      <c r="F32" s="46">
        <v>43344</v>
      </c>
      <c r="G32" s="40">
        <v>43708</v>
      </c>
      <c r="H32" s="36">
        <v>69500</v>
      </c>
      <c r="I32" s="36">
        <v>23164.35</v>
      </c>
    </row>
    <row r="33" spans="1:9" hidden="1">
      <c r="A33" s="31">
        <v>501346</v>
      </c>
      <c r="B33" s="31">
        <v>212041</v>
      </c>
      <c r="C33" s="31" t="s">
        <v>347</v>
      </c>
      <c r="D33" s="31" t="s">
        <v>1322</v>
      </c>
      <c r="E33" s="31" t="s">
        <v>82</v>
      </c>
      <c r="F33" s="46">
        <v>43344</v>
      </c>
      <c r="G33" s="40">
        <v>43708</v>
      </c>
      <c r="H33" s="36">
        <v>70000</v>
      </c>
      <c r="I33" s="36">
        <v>23331</v>
      </c>
    </row>
    <row r="34" spans="1:9">
      <c r="A34" s="31">
        <v>501346</v>
      </c>
      <c r="B34" s="31">
        <v>208612</v>
      </c>
      <c r="C34" s="31" t="s">
        <v>347</v>
      </c>
      <c r="D34" s="31" t="s">
        <v>1042</v>
      </c>
      <c r="E34" s="31" t="s">
        <v>1727</v>
      </c>
      <c r="F34" s="46">
        <v>43344</v>
      </c>
      <c r="G34" s="40">
        <v>43708</v>
      </c>
      <c r="H34" s="36">
        <v>44000</v>
      </c>
      <c r="I34" s="36">
        <v>14665.199999999999</v>
      </c>
    </row>
    <row r="35" spans="1:9">
      <c r="A35" s="31">
        <v>501346</v>
      </c>
      <c r="B35" s="31">
        <v>203615</v>
      </c>
      <c r="C35" s="31" t="s">
        <v>347</v>
      </c>
      <c r="D35" s="31" t="s">
        <v>1753</v>
      </c>
      <c r="E35" s="31" t="s">
        <v>1727</v>
      </c>
      <c r="F35" s="46">
        <v>43344</v>
      </c>
      <c r="G35" s="40">
        <v>43708</v>
      </c>
      <c r="H35" s="36">
        <v>195000</v>
      </c>
      <c r="I35" s="36">
        <v>64993.5</v>
      </c>
    </row>
    <row r="36" spans="1:9">
      <c r="A36" s="47">
        <v>501346</v>
      </c>
      <c r="B36" s="48">
        <v>203615</v>
      </c>
      <c r="C36" s="47" t="s">
        <v>347</v>
      </c>
      <c r="D36" s="49" t="s">
        <v>1754</v>
      </c>
      <c r="E36" s="49" t="s">
        <v>1727</v>
      </c>
      <c r="F36" s="50">
        <v>42979</v>
      </c>
      <c r="G36" s="50">
        <v>43343</v>
      </c>
      <c r="H36" s="51">
        <v>5000</v>
      </c>
      <c r="I36" s="51">
        <v>1666.5</v>
      </c>
    </row>
    <row r="37" spans="1:9">
      <c r="A37" s="31">
        <v>501346</v>
      </c>
      <c r="B37" s="31">
        <v>203143</v>
      </c>
      <c r="C37" s="31" t="s">
        <v>347</v>
      </c>
      <c r="D37" s="32" t="s">
        <v>1759</v>
      </c>
      <c r="E37" s="32" t="s">
        <v>1727</v>
      </c>
      <c r="F37" s="35">
        <v>43344</v>
      </c>
      <c r="G37" s="35">
        <v>43708</v>
      </c>
      <c r="H37" s="36">
        <v>30000</v>
      </c>
      <c r="I37" s="36">
        <v>9999</v>
      </c>
    </row>
    <row r="38" spans="1:9">
      <c r="A38" s="31">
        <v>501345</v>
      </c>
      <c r="B38" s="31">
        <v>211963</v>
      </c>
      <c r="C38" s="31" t="s">
        <v>347</v>
      </c>
      <c r="D38" s="31" t="s">
        <v>84</v>
      </c>
      <c r="E38" s="31" t="s">
        <v>1727</v>
      </c>
      <c r="F38" s="46">
        <v>43344</v>
      </c>
      <c r="G38" s="40">
        <v>43708</v>
      </c>
      <c r="H38" s="36">
        <v>35000</v>
      </c>
      <c r="I38" s="36">
        <v>11665.5</v>
      </c>
    </row>
    <row r="39" spans="1:9" hidden="1">
      <c r="A39" s="31">
        <v>501345</v>
      </c>
      <c r="B39" s="31">
        <v>208615</v>
      </c>
      <c r="C39" s="31" t="s">
        <v>347</v>
      </c>
      <c r="D39" s="31" t="s">
        <v>1739</v>
      </c>
      <c r="E39" s="31" t="s">
        <v>53</v>
      </c>
      <c r="F39" s="46">
        <v>43344</v>
      </c>
      <c r="G39" s="40">
        <v>43708</v>
      </c>
      <c r="H39" s="36">
        <v>15000</v>
      </c>
      <c r="I39" s="36">
        <v>4999.5</v>
      </c>
    </row>
    <row r="40" spans="1:9">
      <c r="A40" s="31">
        <v>501345</v>
      </c>
      <c r="B40" s="31">
        <v>212065</v>
      </c>
      <c r="C40" s="31" t="s">
        <v>347</v>
      </c>
      <c r="D40" s="31" t="s">
        <v>88</v>
      </c>
      <c r="E40" s="31" t="s">
        <v>1727</v>
      </c>
      <c r="F40" s="46">
        <v>43344</v>
      </c>
      <c r="G40" s="40">
        <v>43708</v>
      </c>
      <c r="H40" s="36">
        <v>100472</v>
      </c>
      <c r="I40" s="36">
        <v>33487.317600000002</v>
      </c>
    </row>
    <row r="41" spans="1:9">
      <c r="A41" s="31">
        <v>501345</v>
      </c>
      <c r="B41" s="31">
        <v>203832</v>
      </c>
      <c r="C41" s="31" t="s">
        <v>347</v>
      </c>
      <c r="D41" s="31" t="s">
        <v>804</v>
      </c>
      <c r="E41" s="31" t="s">
        <v>1727</v>
      </c>
      <c r="F41" s="46">
        <v>43344</v>
      </c>
      <c r="G41" s="40">
        <v>43708</v>
      </c>
      <c r="H41" s="36">
        <v>43000</v>
      </c>
      <c r="I41" s="36">
        <v>14331.9</v>
      </c>
    </row>
    <row r="42" spans="1:9">
      <c r="A42" s="47">
        <v>501345</v>
      </c>
      <c r="B42" s="48">
        <v>201921</v>
      </c>
      <c r="C42" s="47" t="s">
        <v>347</v>
      </c>
      <c r="D42" s="49" t="s">
        <v>1752</v>
      </c>
      <c r="E42" s="49" t="s">
        <v>1727</v>
      </c>
      <c r="F42" s="50">
        <v>42979</v>
      </c>
      <c r="G42" s="50">
        <v>43343</v>
      </c>
      <c r="H42" s="51">
        <v>10000</v>
      </c>
      <c r="I42" s="51">
        <v>3333</v>
      </c>
    </row>
    <row r="43" spans="1:9">
      <c r="A43" s="31">
        <v>501345</v>
      </c>
      <c r="B43" s="31">
        <v>201921</v>
      </c>
      <c r="C43" s="31" t="s">
        <v>347</v>
      </c>
      <c r="D43" s="31" t="s">
        <v>1752</v>
      </c>
      <c r="E43" s="31" t="s">
        <v>1727</v>
      </c>
      <c r="F43" s="46">
        <v>43344</v>
      </c>
      <c r="G43" s="40">
        <v>43708</v>
      </c>
      <c r="H43" s="36">
        <v>126500</v>
      </c>
      <c r="I43" s="36">
        <v>42162.45</v>
      </c>
    </row>
    <row r="44" spans="1:9">
      <c r="A44" s="31">
        <v>501345</v>
      </c>
      <c r="B44" s="31" t="s">
        <v>1756</v>
      </c>
      <c r="C44" s="31" t="s">
        <v>347</v>
      </c>
      <c r="D44" s="31" t="s">
        <v>1755</v>
      </c>
      <c r="E44" s="31" t="s">
        <v>1727</v>
      </c>
      <c r="F44" s="46">
        <v>43344</v>
      </c>
      <c r="G44" s="40">
        <v>43708</v>
      </c>
      <c r="H44" s="36">
        <v>143178</v>
      </c>
      <c r="I44" s="36">
        <v>47721.227399999996</v>
      </c>
    </row>
    <row r="45" spans="1:9" hidden="1">
      <c r="A45" s="31">
        <v>501345</v>
      </c>
      <c r="B45" s="31">
        <v>208810</v>
      </c>
      <c r="C45" s="31" t="s">
        <v>347</v>
      </c>
      <c r="D45" s="31" t="s">
        <v>194</v>
      </c>
      <c r="E45" s="31" t="s">
        <v>53</v>
      </c>
      <c r="F45" s="46">
        <v>43344</v>
      </c>
      <c r="G45" s="40">
        <v>43708</v>
      </c>
      <c r="H45" s="36">
        <v>191702</v>
      </c>
      <c r="I45" s="36">
        <v>63894.276599999997</v>
      </c>
    </row>
    <row r="46" spans="1:9">
      <c r="A46" s="31">
        <v>501344</v>
      </c>
      <c r="B46" s="31">
        <v>207233</v>
      </c>
      <c r="C46" s="31" t="s">
        <v>347</v>
      </c>
      <c r="D46" s="31" t="s">
        <v>203</v>
      </c>
      <c r="E46" s="31" t="s">
        <v>1727</v>
      </c>
      <c r="F46" s="46">
        <v>43344</v>
      </c>
      <c r="G46" s="40">
        <v>43708</v>
      </c>
      <c r="H46" s="36">
        <v>112500</v>
      </c>
      <c r="I46" s="36">
        <v>37496.25</v>
      </c>
    </row>
    <row r="47" spans="1:9" hidden="1">
      <c r="A47" s="31">
        <v>501344</v>
      </c>
      <c r="B47" s="31">
        <v>208807</v>
      </c>
      <c r="C47" s="31" t="s">
        <v>347</v>
      </c>
      <c r="D47" s="31" t="s">
        <v>1118</v>
      </c>
      <c r="E47" s="31" t="s">
        <v>68</v>
      </c>
      <c r="F47" s="46">
        <v>43344</v>
      </c>
      <c r="G47" s="40">
        <v>43708</v>
      </c>
      <c r="H47" s="36">
        <v>75000</v>
      </c>
      <c r="I47" s="36">
        <v>24997.5</v>
      </c>
    </row>
    <row r="48" spans="1:9">
      <c r="A48" s="31">
        <v>501344</v>
      </c>
      <c r="B48" s="31">
        <v>200311</v>
      </c>
      <c r="C48" s="31" t="s">
        <v>347</v>
      </c>
      <c r="D48" s="31" t="s">
        <v>1746</v>
      </c>
      <c r="E48" s="31" t="s">
        <v>1727</v>
      </c>
      <c r="F48" s="46">
        <v>43344</v>
      </c>
      <c r="G48" s="40">
        <v>43708</v>
      </c>
      <c r="H48" s="36">
        <v>75000</v>
      </c>
      <c r="I48" s="36">
        <v>24997.5</v>
      </c>
    </row>
    <row r="49" spans="1:9">
      <c r="A49" s="31">
        <v>501344</v>
      </c>
      <c r="B49" s="31">
        <v>206595</v>
      </c>
      <c r="C49" s="31" t="s">
        <v>347</v>
      </c>
      <c r="D49" s="31" t="s">
        <v>76</v>
      </c>
      <c r="E49" s="31" t="s">
        <v>1727</v>
      </c>
      <c r="F49" s="46">
        <v>43344</v>
      </c>
      <c r="G49" s="40">
        <v>43708</v>
      </c>
      <c r="H49" s="36">
        <v>75000</v>
      </c>
      <c r="I49" s="36">
        <v>24997.5</v>
      </c>
    </row>
    <row r="50" spans="1:9" hidden="1">
      <c r="A50" s="31">
        <v>501344</v>
      </c>
      <c r="B50" s="31">
        <v>208607</v>
      </c>
      <c r="C50" s="31" t="s">
        <v>347</v>
      </c>
      <c r="D50" s="31" t="s">
        <v>1749</v>
      </c>
      <c r="E50" s="31" t="s">
        <v>53</v>
      </c>
      <c r="F50" s="46">
        <v>43344</v>
      </c>
      <c r="G50" s="40">
        <v>43708</v>
      </c>
      <c r="H50" s="36">
        <v>143313</v>
      </c>
      <c r="I50" s="36">
        <v>47766.222900000001</v>
      </c>
    </row>
    <row r="51" spans="1:9">
      <c r="A51" s="31">
        <v>501344</v>
      </c>
      <c r="B51" s="31">
        <v>202616</v>
      </c>
      <c r="C51" s="31" t="s">
        <v>347</v>
      </c>
      <c r="D51" s="31" t="s">
        <v>1750</v>
      </c>
      <c r="E51" s="31" t="s">
        <v>1727</v>
      </c>
      <c r="F51" s="46">
        <v>43344</v>
      </c>
      <c r="G51" s="40">
        <v>43708</v>
      </c>
      <c r="H51" s="36">
        <v>260000</v>
      </c>
      <c r="I51" s="36">
        <v>86658</v>
      </c>
    </row>
    <row r="52" spans="1:9" hidden="1">
      <c r="A52" s="31">
        <v>501343</v>
      </c>
      <c r="B52" s="31">
        <v>208616</v>
      </c>
      <c r="C52" s="31" t="s">
        <v>347</v>
      </c>
      <c r="D52" s="31" t="s">
        <v>69</v>
      </c>
      <c r="E52" s="31" t="s">
        <v>53</v>
      </c>
      <c r="F52" s="46">
        <v>43344</v>
      </c>
      <c r="G52" s="40">
        <v>43708</v>
      </c>
      <c r="H52" s="36">
        <v>61750</v>
      </c>
      <c r="I52" s="36">
        <v>20581.274999999998</v>
      </c>
    </row>
    <row r="53" spans="1:9">
      <c r="A53" s="31">
        <v>501343</v>
      </c>
      <c r="B53" s="31">
        <v>211134</v>
      </c>
      <c r="C53" s="31" t="s">
        <v>347</v>
      </c>
      <c r="D53" s="31" t="s">
        <v>1755</v>
      </c>
      <c r="E53" s="31" t="s">
        <v>1727</v>
      </c>
      <c r="F53" s="46">
        <v>43344</v>
      </c>
      <c r="G53" s="40">
        <v>43708</v>
      </c>
      <c r="H53" s="36">
        <v>13000</v>
      </c>
      <c r="I53" s="36">
        <v>4332.8999999999996</v>
      </c>
    </row>
    <row r="54" spans="1:9" hidden="1">
      <c r="A54" s="31">
        <v>501343</v>
      </c>
      <c r="B54" s="31">
        <v>208750</v>
      </c>
      <c r="C54" s="31" t="s">
        <v>347</v>
      </c>
      <c r="D54" s="31" t="s">
        <v>335</v>
      </c>
      <c r="E54" s="31" t="s">
        <v>53</v>
      </c>
      <c r="F54" s="46">
        <v>43344</v>
      </c>
      <c r="G54" s="40">
        <v>43708</v>
      </c>
      <c r="H54" s="36">
        <v>61725</v>
      </c>
      <c r="I54" s="36">
        <v>20572.942499999997</v>
      </c>
    </row>
    <row r="55" spans="1:9" hidden="1">
      <c r="A55" s="31">
        <v>501342</v>
      </c>
      <c r="B55" s="31">
        <v>208609</v>
      </c>
      <c r="C55" s="31" t="s">
        <v>347</v>
      </c>
      <c r="D55" s="31" t="s">
        <v>332</v>
      </c>
      <c r="E55" s="31" t="s">
        <v>82</v>
      </c>
      <c r="F55" s="46">
        <v>43344</v>
      </c>
      <c r="G55" s="40">
        <v>43708</v>
      </c>
      <c r="H55" s="36">
        <v>180000</v>
      </c>
      <c r="I55" s="36">
        <v>59994</v>
      </c>
    </row>
    <row r="56" spans="1:9" hidden="1">
      <c r="A56" s="47">
        <v>501342</v>
      </c>
      <c r="B56" s="48">
        <v>208609</v>
      </c>
      <c r="C56" s="47" t="s">
        <v>347</v>
      </c>
      <c r="D56" s="49" t="s">
        <v>1748</v>
      </c>
      <c r="E56" s="49" t="s">
        <v>82</v>
      </c>
      <c r="F56" s="50">
        <v>43344</v>
      </c>
      <c r="G56" s="50">
        <v>43708</v>
      </c>
      <c r="H56" s="51">
        <v>5000</v>
      </c>
      <c r="I56" s="51">
        <v>1666.5</v>
      </c>
    </row>
    <row r="57" spans="1:9" hidden="1">
      <c r="A57" s="31">
        <v>501342</v>
      </c>
      <c r="B57" s="31">
        <v>208618</v>
      </c>
      <c r="C57" s="31" t="s">
        <v>347</v>
      </c>
      <c r="D57" s="31" t="s">
        <v>1065</v>
      </c>
      <c r="E57" s="31" t="s">
        <v>68</v>
      </c>
      <c r="F57" s="46">
        <v>43344</v>
      </c>
      <c r="G57" s="40">
        <v>43708</v>
      </c>
      <c r="H57" s="36">
        <v>108951</v>
      </c>
      <c r="I57" s="36">
        <v>36313.368300000002</v>
      </c>
    </row>
    <row r="58" spans="1:9" hidden="1">
      <c r="A58" s="31">
        <v>501342</v>
      </c>
      <c r="B58" s="31">
        <v>203561</v>
      </c>
      <c r="C58" s="31" t="s">
        <v>347</v>
      </c>
      <c r="D58" s="31" t="s">
        <v>317</v>
      </c>
      <c r="E58" s="31" t="s">
        <v>53</v>
      </c>
      <c r="F58" s="46">
        <v>43344</v>
      </c>
      <c r="G58" s="40">
        <v>43708</v>
      </c>
      <c r="H58" s="36">
        <v>72509</v>
      </c>
      <c r="I58" s="36">
        <v>24167.2497</v>
      </c>
    </row>
    <row r="59" spans="1:9">
      <c r="A59" s="31">
        <v>501341</v>
      </c>
      <c r="B59" s="31">
        <v>213043</v>
      </c>
      <c r="C59" s="31" t="s">
        <v>347</v>
      </c>
      <c r="D59" s="31" t="s">
        <v>1400</v>
      </c>
      <c r="E59" s="31" t="s">
        <v>1727</v>
      </c>
      <c r="F59" s="46">
        <v>43344</v>
      </c>
      <c r="G59" s="40">
        <v>43708</v>
      </c>
      <c r="H59" s="36">
        <v>25000</v>
      </c>
      <c r="I59" s="36">
        <v>8332.5</v>
      </c>
    </row>
    <row r="60" spans="1:9">
      <c r="A60" s="31">
        <v>501341</v>
      </c>
      <c r="B60" s="31">
        <v>203820</v>
      </c>
      <c r="C60" s="31" t="s">
        <v>347</v>
      </c>
      <c r="D60" s="31" t="s">
        <v>106</v>
      </c>
      <c r="E60" s="31" t="s">
        <v>1727</v>
      </c>
      <c r="F60" s="46">
        <v>43344</v>
      </c>
      <c r="G60" s="40">
        <v>43708</v>
      </c>
      <c r="H60" s="36">
        <v>134724</v>
      </c>
      <c r="I60" s="36">
        <v>44903.5092</v>
      </c>
    </row>
    <row r="61" spans="1:9" hidden="1">
      <c r="A61" s="31">
        <v>501341</v>
      </c>
      <c r="B61" s="31">
        <v>208609</v>
      </c>
      <c r="C61" s="31" t="s">
        <v>347</v>
      </c>
      <c r="D61" s="31" t="s">
        <v>332</v>
      </c>
      <c r="E61" s="31" t="s">
        <v>82</v>
      </c>
      <c r="F61" s="46">
        <v>43344</v>
      </c>
      <c r="G61" s="40">
        <v>43708</v>
      </c>
      <c r="H61" s="36">
        <v>18000</v>
      </c>
      <c r="I61" s="36">
        <v>5999.4</v>
      </c>
    </row>
    <row r="62" spans="1:9">
      <c r="A62" s="31">
        <v>501341</v>
      </c>
      <c r="B62" s="31">
        <v>201921</v>
      </c>
      <c r="C62" s="31" t="s">
        <v>347</v>
      </c>
      <c r="D62" s="31" t="s">
        <v>1752</v>
      </c>
      <c r="E62" s="31" t="s">
        <v>1727</v>
      </c>
      <c r="F62" s="46">
        <v>43344</v>
      </c>
      <c r="G62" s="40">
        <v>43708</v>
      </c>
      <c r="H62" s="36">
        <v>101009</v>
      </c>
      <c r="I62" s="36">
        <v>33666.299699999996</v>
      </c>
    </row>
    <row r="63" spans="1:9">
      <c r="A63" s="31">
        <v>501340</v>
      </c>
      <c r="B63" s="31">
        <v>200821</v>
      </c>
      <c r="C63" s="31" t="s">
        <v>347</v>
      </c>
      <c r="D63" s="31" t="s">
        <v>1733</v>
      </c>
      <c r="E63" s="31" t="s">
        <v>1727</v>
      </c>
      <c r="F63" s="46">
        <v>43344</v>
      </c>
      <c r="G63" s="40">
        <v>43708</v>
      </c>
      <c r="H63" s="36">
        <v>100000</v>
      </c>
      <c r="I63" s="36">
        <v>33330</v>
      </c>
    </row>
    <row r="64" spans="1:9">
      <c r="A64" s="31">
        <v>501340</v>
      </c>
      <c r="B64" s="31">
        <v>206147</v>
      </c>
      <c r="C64" s="31" t="s">
        <v>347</v>
      </c>
      <c r="D64" s="31" t="s">
        <v>196</v>
      </c>
      <c r="E64" s="31" t="s">
        <v>1727</v>
      </c>
      <c r="F64" s="46">
        <v>43344</v>
      </c>
      <c r="G64" s="40">
        <v>43708</v>
      </c>
      <c r="H64" s="36">
        <v>100000</v>
      </c>
      <c r="I64" s="36">
        <v>33330</v>
      </c>
    </row>
    <row r="65" spans="1:9">
      <c r="A65" s="31">
        <v>501340</v>
      </c>
      <c r="B65" s="31">
        <v>210781</v>
      </c>
      <c r="C65" s="31" t="s">
        <v>347</v>
      </c>
      <c r="D65" s="31" t="s">
        <v>1248</v>
      </c>
      <c r="E65" s="31" t="s">
        <v>1727</v>
      </c>
      <c r="F65" s="46">
        <v>43344</v>
      </c>
      <c r="G65" s="40">
        <v>43708</v>
      </c>
      <c r="H65" s="36">
        <v>75000</v>
      </c>
      <c r="I65" s="36">
        <v>24997.5</v>
      </c>
    </row>
    <row r="66" spans="1:9" hidden="1">
      <c r="A66" s="31">
        <v>501340</v>
      </c>
      <c r="B66" s="31">
        <v>212636</v>
      </c>
      <c r="C66" s="31" t="s">
        <v>347</v>
      </c>
      <c r="D66" s="31" t="s">
        <v>110</v>
      </c>
      <c r="E66" s="31" t="s">
        <v>53</v>
      </c>
      <c r="F66" s="46">
        <v>43344</v>
      </c>
      <c r="G66" s="40">
        <v>43708</v>
      </c>
      <c r="H66" s="36">
        <v>116000</v>
      </c>
      <c r="I66" s="36">
        <v>38662.799999999996</v>
      </c>
    </row>
    <row r="67" spans="1:9">
      <c r="A67" s="31">
        <v>501340</v>
      </c>
      <c r="B67" s="31">
        <v>206205</v>
      </c>
      <c r="C67" s="31" t="s">
        <v>347</v>
      </c>
      <c r="D67" s="31" t="s">
        <v>199</v>
      </c>
      <c r="E67" s="31" t="s">
        <v>1727</v>
      </c>
      <c r="F67" s="46">
        <v>43344</v>
      </c>
      <c r="G67" s="40">
        <v>43708</v>
      </c>
      <c r="H67" s="36">
        <v>137300</v>
      </c>
      <c r="I67" s="36">
        <v>45762.09</v>
      </c>
    </row>
    <row r="68" spans="1:9" hidden="1">
      <c r="A68" s="31">
        <v>501339</v>
      </c>
      <c r="B68" s="31">
        <v>208617</v>
      </c>
      <c r="C68" s="31" t="s">
        <v>347</v>
      </c>
      <c r="D68" s="31" t="s">
        <v>1059</v>
      </c>
      <c r="E68" s="31" t="s">
        <v>68</v>
      </c>
      <c r="F68" s="46">
        <v>43344</v>
      </c>
      <c r="G68" s="40">
        <v>43708</v>
      </c>
      <c r="H68" s="36">
        <v>105380</v>
      </c>
      <c r="I68" s="36">
        <v>35123.153999999995</v>
      </c>
    </row>
    <row r="69" spans="1:9">
      <c r="A69" s="31">
        <v>501339</v>
      </c>
      <c r="B69" s="31">
        <v>205993</v>
      </c>
      <c r="C69" s="31" t="s">
        <v>347</v>
      </c>
      <c r="D69" s="31" t="s">
        <v>1745</v>
      </c>
      <c r="E69" s="31" t="s">
        <v>1727</v>
      </c>
      <c r="F69" s="46">
        <v>43344</v>
      </c>
      <c r="G69" s="40">
        <v>43708</v>
      </c>
      <c r="H69" s="36">
        <v>98680</v>
      </c>
      <c r="I69" s="36">
        <v>32890.044000000002</v>
      </c>
    </row>
    <row r="70" spans="1:9">
      <c r="A70" s="31">
        <v>501339</v>
      </c>
      <c r="B70" s="31">
        <v>211320</v>
      </c>
      <c r="C70" s="31" t="s">
        <v>347</v>
      </c>
      <c r="D70" s="31" t="s">
        <v>1282</v>
      </c>
      <c r="E70" s="31" t="s">
        <v>1727</v>
      </c>
      <c r="F70" s="46">
        <v>43344</v>
      </c>
      <c r="G70" s="40">
        <v>43708</v>
      </c>
      <c r="H70" s="36">
        <v>104000</v>
      </c>
      <c r="I70" s="36">
        <v>34663.199999999997</v>
      </c>
    </row>
    <row r="71" spans="1:9">
      <c r="A71" s="31">
        <v>501339</v>
      </c>
      <c r="B71" s="31">
        <v>208379</v>
      </c>
      <c r="C71" s="31" t="s">
        <v>347</v>
      </c>
      <c r="D71" s="31" t="s">
        <v>92</v>
      </c>
      <c r="E71" s="31" t="s">
        <v>1727</v>
      </c>
      <c r="F71" s="46">
        <v>43344</v>
      </c>
      <c r="G71" s="40">
        <v>43708</v>
      </c>
      <c r="H71" s="36">
        <v>91000</v>
      </c>
      <c r="I71" s="36">
        <v>30330.3</v>
      </c>
    </row>
    <row r="72" spans="1:9" hidden="1">
      <c r="A72" s="31">
        <v>501339</v>
      </c>
      <c r="B72" s="31">
        <v>211534</v>
      </c>
      <c r="C72" s="31" t="s">
        <v>347</v>
      </c>
      <c r="D72" s="31" t="s">
        <v>1297</v>
      </c>
      <c r="E72" s="31" t="s">
        <v>68</v>
      </c>
      <c r="F72" s="46">
        <v>43344</v>
      </c>
      <c r="G72" s="40">
        <v>43708</v>
      </c>
      <c r="H72" s="36">
        <v>121477</v>
      </c>
      <c r="I72" s="36">
        <v>40488.284099999997</v>
      </c>
    </row>
    <row r="73" spans="1:9">
      <c r="A73" s="31">
        <v>501339</v>
      </c>
      <c r="B73" s="31">
        <v>211894</v>
      </c>
      <c r="C73" s="31" t="s">
        <v>347</v>
      </c>
      <c r="D73" s="31" t="s">
        <v>1310</v>
      </c>
      <c r="E73" s="31" t="s">
        <v>1727</v>
      </c>
      <c r="F73" s="46">
        <v>43344</v>
      </c>
      <c r="G73" s="40">
        <v>43708</v>
      </c>
      <c r="H73" s="36">
        <v>106000</v>
      </c>
      <c r="I73" s="36">
        <v>35329.799999999996</v>
      </c>
    </row>
    <row r="74" spans="1:9" hidden="1">
      <c r="A74" s="31">
        <v>501338</v>
      </c>
      <c r="B74" s="31">
        <v>208815</v>
      </c>
      <c r="C74" s="31" t="s">
        <v>347</v>
      </c>
      <c r="D74" s="31" t="s">
        <v>314</v>
      </c>
      <c r="E74" s="31" t="s">
        <v>53</v>
      </c>
      <c r="F74" s="46">
        <v>43344</v>
      </c>
      <c r="G74" s="40">
        <v>43708</v>
      </c>
      <c r="H74" s="36">
        <v>81492</v>
      </c>
      <c r="I74" s="36">
        <v>27161.283599999999</v>
      </c>
    </row>
    <row r="75" spans="1:9" hidden="1">
      <c r="A75" s="31">
        <v>501338</v>
      </c>
      <c r="B75" s="31">
        <v>203628</v>
      </c>
      <c r="C75" s="31" t="s">
        <v>347</v>
      </c>
      <c r="D75" s="31" t="s">
        <v>1744</v>
      </c>
      <c r="E75" s="31" t="s">
        <v>53</v>
      </c>
      <c r="F75" s="46">
        <v>43344</v>
      </c>
      <c r="G75" s="40">
        <v>43708</v>
      </c>
      <c r="H75" s="36">
        <v>236000</v>
      </c>
      <c r="I75" s="36">
        <v>78658.8</v>
      </c>
    </row>
    <row r="76" spans="1:9" hidden="1">
      <c r="A76" s="31">
        <v>501338</v>
      </c>
      <c r="B76" s="31">
        <v>203442</v>
      </c>
      <c r="C76" s="31" t="s">
        <v>347</v>
      </c>
      <c r="D76" s="31" t="s">
        <v>191</v>
      </c>
      <c r="E76" s="31" t="s">
        <v>53</v>
      </c>
      <c r="F76" s="46">
        <v>43344</v>
      </c>
      <c r="G76" s="40">
        <v>43708</v>
      </c>
      <c r="H76" s="36">
        <v>5862</v>
      </c>
      <c r="I76" s="36">
        <v>1953.8045999999999</v>
      </c>
    </row>
    <row r="77" spans="1:9" hidden="1">
      <c r="A77" s="31">
        <v>501337</v>
      </c>
      <c r="B77" s="31">
        <v>211377</v>
      </c>
      <c r="C77" s="31" t="s">
        <v>347</v>
      </c>
      <c r="D77" s="31" t="s">
        <v>55</v>
      </c>
      <c r="E77" s="31" t="s">
        <v>53</v>
      </c>
      <c r="F77" s="46">
        <v>43344</v>
      </c>
      <c r="G77" s="40">
        <v>43708</v>
      </c>
      <c r="H77" s="36">
        <v>20000</v>
      </c>
      <c r="I77" s="36">
        <v>6666</v>
      </c>
    </row>
    <row r="78" spans="1:9">
      <c r="A78" s="31">
        <v>501337</v>
      </c>
      <c r="B78" s="31">
        <v>212065</v>
      </c>
      <c r="C78" s="31" t="s">
        <v>347</v>
      </c>
      <c r="D78" s="31" t="s">
        <v>88</v>
      </c>
      <c r="E78" s="31" t="s">
        <v>1727</v>
      </c>
      <c r="F78" s="46">
        <v>43344</v>
      </c>
      <c r="G78" s="40">
        <v>43708</v>
      </c>
      <c r="H78" s="36">
        <v>68926</v>
      </c>
      <c r="I78" s="36">
        <v>22973.035799999998</v>
      </c>
    </row>
    <row r="79" spans="1:9">
      <c r="A79" s="31">
        <v>501337</v>
      </c>
      <c r="B79" s="31">
        <v>208379</v>
      </c>
      <c r="C79" s="31" t="s">
        <v>347</v>
      </c>
      <c r="D79" s="31" t="s">
        <v>92</v>
      </c>
      <c r="E79" s="31" t="s">
        <v>1727</v>
      </c>
      <c r="F79" s="46">
        <v>43344</v>
      </c>
      <c r="G79" s="40">
        <v>43708</v>
      </c>
      <c r="H79" s="36">
        <v>55000</v>
      </c>
      <c r="I79" s="36">
        <v>18331.5</v>
      </c>
    </row>
    <row r="80" spans="1:9" hidden="1">
      <c r="A80" s="31">
        <v>501336</v>
      </c>
      <c r="B80" s="31">
        <v>211063</v>
      </c>
      <c r="C80" s="31" t="s">
        <v>347</v>
      </c>
      <c r="D80" s="31" t="s">
        <v>1736</v>
      </c>
      <c r="E80" s="31" t="s">
        <v>68</v>
      </c>
      <c r="F80" s="46">
        <v>43344</v>
      </c>
      <c r="G80" s="40">
        <v>43708</v>
      </c>
      <c r="H80" s="36">
        <v>115000</v>
      </c>
      <c r="I80" s="36">
        <v>38329.5</v>
      </c>
    </row>
    <row r="81" spans="1:9">
      <c r="A81" s="31">
        <v>501336</v>
      </c>
      <c r="B81" s="31">
        <v>206130</v>
      </c>
      <c r="C81" s="31" t="s">
        <v>347</v>
      </c>
      <c r="D81" s="31" t="s">
        <v>292</v>
      </c>
      <c r="E81" s="31" t="s">
        <v>1727</v>
      </c>
      <c r="F81" s="46">
        <v>43344</v>
      </c>
      <c r="G81" s="40">
        <v>43708</v>
      </c>
      <c r="H81" s="36">
        <v>190150</v>
      </c>
      <c r="I81" s="36">
        <v>63376.994999999995</v>
      </c>
    </row>
    <row r="82" spans="1:9" hidden="1">
      <c r="A82" s="31">
        <v>501336</v>
      </c>
      <c r="B82" s="31">
        <v>212636</v>
      </c>
      <c r="C82" s="31" t="s">
        <v>347</v>
      </c>
      <c r="D82" s="31" t="s">
        <v>110</v>
      </c>
      <c r="E82" s="31" t="s">
        <v>53</v>
      </c>
      <c r="F82" s="46">
        <v>43344</v>
      </c>
      <c r="G82" s="40">
        <v>43708</v>
      </c>
      <c r="H82" s="36">
        <v>211793</v>
      </c>
      <c r="I82" s="36">
        <v>70590.606899999999</v>
      </c>
    </row>
    <row r="83" spans="1:9" hidden="1">
      <c r="A83" s="31">
        <v>501336</v>
      </c>
      <c r="B83" s="31">
        <v>212893</v>
      </c>
      <c r="C83" s="31" t="s">
        <v>347</v>
      </c>
      <c r="D83" s="31" t="s">
        <v>187</v>
      </c>
      <c r="E83" s="31" t="s">
        <v>53</v>
      </c>
      <c r="F83" s="46">
        <v>43344</v>
      </c>
      <c r="G83" s="40">
        <v>43708</v>
      </c>
      <c r="H83" s="36">
        <v>211850</v>
      </c>
      <c r="I83" s="36">
        <v>70609.604999999996</v>
      </c>
    </row>
    <row r="84" spans="1:9">
      <c r="A84" s="31">
        <v>501336</v>
      </c>
      <c r="B84" s="31">
        <v>201921</v>
      </c>
      <c r="C84" s="31" t="s">
        <v>347</v>
      </c>
      <c r="D84" s="31" t="s">
        <v>1752</v>
      </c>
      <c r="E84" s="31" t="s">
        <v>1727</v>
      </c>
      <c r="F84" s="46">
        <v>43344</v>
      </c>
      <c r="G84" s="40">
        <v>43708</v>
      </c>
      <c r="H84" s="36">
        <v>85000</v>
      </c>
      <c r="I84" s="36">
        <v>28330.5</v>
      </c>
    </row>
    <row r="85" spans="1:9" hidden="1">
      <c r="A85" s="31">
        <v>501335</v>
      </c>
      <c r="B85" s="31">
        <v>212714</v>
      </c>
      <c r="C85" s="31" t="s">
        <v>347</v>
      </c>
      <c r="D85" s="31" t="s">
        <v>279</v>
      </c>
      <c r="E85" s="31" t="s">
        <v>53</v>
      </c>
      <c r="F85" s="46">
        <v>43344</v>
      </c>
      <c r="G85" s="40">
        <v>43708</v>
      </c>
      <c r="H85" s="36">
        <v>20000</v>
      </c>
      <c r="I85" s="36">
        <v>6666</v>
      </c>
    </row>
    <row r="86" spans="1:9" hidden="1">
      <c r="A86" s="31">
        <v>501335</v>
      </c>
      <c r="B86" s="31">
        <v>208325</v>
      </c>
      <c r="C86" s="31" t="s">
        <v>347</v>
      </c>
      <c r="D86" s="31" t="s">
        <v>992</v>
      </c>
      <c r="E86" s="31" t="s">
        <v>53</v>
      </c>
      <c r="F86" s="46">
        <v>43344</v>
      </c>
      <c r="G86" s="40">
        <v>43708</v>
      </c>
      <c r="H86" s="36">
        <v>14375</v>
      </c>
      <c r="I86" s="36">
        <v>4791.1875</v>
      </c>
    </row>
    <row r="87" spans="1:9">
      <c r="A87" s="31">
        <v>501335</v>
      </c>
      <c r="B87" s="31">
        <v>212561</v>
      </c>
      <c r="C87" s="31" t="s">
        <v>347</v>
      </c>
      <c r="D87" s="31" t="s">
        <v>1358</v>
      </c>
      <c r="E87" s="31" t="s">
        <v>1727</v>
      </c>
      <c r="F87" s="46">
        <v>43344</v>
      </c>
      <c r="G87" s="40">
        <v>43708</v>
      </c>
      <c r="H87" s="36">
        <v>20000</v>
      </c>
      <c r="I87" s="36">
        <v>6666</v>
      </c>
    </row>
    <row r="88" spans="1:9" hidden="1">
      <c r="A88" s="31">
        <v>501335</v>
      </c>
      <c r="B88" s="31" t="s">
        <v>1751</v>
      </c>
      <c r="C88" s="31" t="s">
        <v>347</v>
      </c>
      <c r="D88" s="31" t="s">
        <v>1038</v>
      </c>
      <c r="E88" s="31" t="s">
        <v>53</v>
      </c>
      <c r="F88" s="46">
        <v>43344</v>
      </c>
      <c r="G88" s="40">
        <v>43708</v>
      </c>
      <c r="H88" s="36">
        <v>15000</v>
      </c>
      <c r="I88" s="36">
        <v>4999.5</v>
      </c>
    </row>
    <row r="89" spans="1:9" hidden="1">
      <c r="A89" s="31">
        <v>501335</v>
      </c>
      <c r="B89" s="31">
        <v>212211</v>
      </c>
      <c r="C89" s="31" t="s">
        <v>347</v>
      </c>
      <c r="D89" s="31" t="s">
        <v>1335</v>
      </c>
      <c r="E89" s="31" t="s">
        <v>68</v>
      </c>
      <c r="F89" s="46">
        <v>43344</v>
      </c>
      <c r="G89" s="40">
        <v>43708</v>
      </c>
      <c r="H89" s="36">
        <v>35394</v>
      </c>
      <c r="I89" s="36">
        <v>11796.8202</v>
      </c>
    </row>
    <row r="90" spans="1:9">
      <c r="A90" s="31">
        <v>501334</v>
      </c>
      <c r="B90" s="31">
        <v>211963</v>
      </c>
      <c r="C90" s="31" t="s">
        <v>347</v>
      </c>
      <c r="D90" s="31" t="s">
        <v>84</v>
      </c>
      <c r="E90" s="31" t="s">
        <v>1727</v>
      </c>
      <c r="F90" s="46">
        <v>43344</v>
      </c>
      <c r="G90" s="40">
        <v>43708</v>
      </c>
      <c r="H90" s="36">
        <v>50000</v>
      </c>
      <c r="I90" s="36">
        <v>16665</v>
      </c>
    </row>
    <row r="91" spans="1:9" hidden="1">
      <c r="A91" s="31">
        <v>501334</v>
      </c>
      <c r="B91" s="31">
        <v>211377</v>
      </c>
      <c r="C91" s="31" t="s">
        <v>347</v>
      </c>
      <c r="D91" s="31" t="s">
        <v>55</v>
      </c>
      <c r="E91" s="31" t="s">
        <v>53</v>
      </c>
      <c r="F91" s="46">
        <v>43344</v>
      </c>
      <c r="G91" s="40">
        <v>43708</v>
      </c>
      <c r="H91" s="36">
        <v>270257</v>
      </c>
      <c r="I91" s="36">
        <v>90076.658100000001</v>
      </c>
    </row>
    <row r="92" spans="1:9" hidden="1">
      <c r="A92" s="31">
        <v>501334</v>
      </c>
      <c r="B92" s="31">
        <v>207237</v>
      </c>
      <c r="C92" s="31" t="s">
        <v>347</v>
      </c>
      <c r="D92" s="31" t="s">
        <v>951</v>
      </c>
      <c r="E92" s="31" t="s">
        <v>53</v>
      </c>
      <c r="F92" s="46">
        <v>43344</v>
      </c>
      <c r="G92" s="40">
        <v>43708</v>
      </c>
      <c r="H92" s="36">
        <v>164125</v>
      </c>
      <c r="I92" s="36">
        <v>54702.862499999996</v>
      </c>
    </row>
    <row r="93" spans="1:9" hidden="1">
      <c r="A93" s="31">
        <v>501334</v>
      </c>
      <c r="B93" s="31">
        <v>208475</v>
      </c>
      <c r="C93" s="31" t="s">
        <v>347</v>
      </c>
      <c r="D93" s="31" t="s">
        <v>1743</v>
      </c>
      <c r="E93" s="31" t="s">
        <v>53</v>
      </c>
      <c r="F93" s="46">
        <v>43344</v>
      </c>
      <c r="G93" s="40">
        <v>43708</v>
      </c>
      <c r="H93" s="36">
        <v>80000</v>
      </c>
      <c r="I93" s="36">
        <v>26664</v>
      </c>
    </row>
    <row r="94" spans="1:9">
      <c r="A94" s="31">
        <v>501334</v>
      </c>
      <c r="B94" s="31">
        <v>212065</v>
      </c>
      <c r="C94" s="31" t="s">
        <v>347</v>
      </c>
      <c r="D94" s="31" t="s">
        <v>88</v>
      </c>
      <c r="E94" s="31" t="s">
        <v>1727</v>
      </c>
      <c r="F94" s="46">
        <v>43344</v>
      </c>
      <c r="G94" s="40">
        <v>43708</v>
      </c>
      <c r="H94" s="36">
        <v>30000</v>
      </c>
      <c r="I94" s="36">
        <v>9999</v>
      </c>
    </row>
    <row r="95" spans="1:9" hidden="1">
      <c r="A95" s="31">
        <v>501334</v>
      </c>
      <c r="B95" s="31">
        <v>208808</v>
      </c>
      <c r="C95" s="31" t="s">
        <v>347</v>
      </c>
      <c r="D95" s="31" t="s">
        <v>308</v>
      </c>
      <c r="E95" s="31" t="s">
        <v>53</v>
      </c>
      <c r="F95" s="46">
        <v>43344</v>
      </c>
      <c r="G95" s="40">
        <v>43708</v>
      </c>
      <c r="H95" s="36">
        <v>164125</v>
      </c>
      <c r="I95" s="36">
        <v>54702.862499999996</v>
      </c>
    </row>
    <row r="96" spans="1:9">
      <c r="A96" s="31">
        <v>501334</v>
      </c>
      <c r="B96" s="31">
        <v>205818</v>
      </c>
      <c r="C96" s="31" t="s">
        <v>347</v>
      </c>
      <c r="D96" s="31" t="s">
        <v>836</v>
      </c>
      <c r="E96" s="31" t="s">
        <v>1727</v>
      </c>
      <c r="F96" s="46">
        <v>43344</v>
      </c>
      <c r="G96" s="40">
        <v>43708</v>
      </c>
      <c r="H96" s="36">
        <v>56000</v>
      </c>
      <c r="I96" s="36">
        <v>18664.8</v>
      </c>
    </row>
    <row r="97" spans="1:9">
      <c r="A97" s="31">
        <v>501333</v>
      </c>
      <c r="B97" s="31">
        <v>211963</v>
      </c>
      <c r="C97" s="31" t="s">
        <v>347</v>
      </c>
      <c r="D97" s="31" t="s">
        <v>84</v>
      </c>
      <c r="E97" s="31" t="s">
        <v>1727</v>
      </c>
      <c r="F97" s="46">
        <v>43344</v>
      </c>
      <c r="G97" s="40">
        <v>43708</v>
      </c>
      <c r="H97" s="36">
        <v>70000</v>
      </c>
      <c r="I97" s="36">
        <v>23331</v>
      </c>
    </row>
    <row r="98" spans="1:9">
      <c r="A98" s="31">
        <v>501333</v>
      </c>
      <c r="B98" s="31">
        <v>207444</v>
      </c>
      <c r="C98" s="31" t="s">
        <v>347</v>
      </c>
      <c r="D98" s="31" t="s">
        <v>1742</v>
      </c>
      <c r="E98" s="31" t="s">
        <v>1727</v>
      </c>
      <c r="F98" s="46">
        <v>43344</v>
      </c>
      <c r="G98" s="40">
        <v>43708</v>
      </c>
      <c r="H98" s="36">
        <v>60000</v>
      </c>
      <c r="I98" s="36">
        <v>19998</v>
      </c>
    </row>
    <row r="99" spans="1:9" hidden="1">
      <c r="A99" s="31">
        <v>501333</v>
      </c>
      <c r="B99" s="31">
        <v>208325</v>
      </c>
      <c r="C99" s="31" t="s">
        <v>347</v>
      </c>
      <c r="D99" s="31" t="s">
        <v>992</v>
      </c>
      <c r="E99" s="31" t="s">
        <v>53</v>
      </c>
      <c r="F99" s="46">
        <v>43344</v>
      </c>
      <c r="G99" s="40">
        <v>43708</v>
      </c>
      <c r="H99" s="36">
        <v>50000</v>
      </c>
      <c r="I99" s="36">
        <v>16665</v>
      </c>
    </row>
    <row r="100" spans="1:9" hidden="1">
      <c r="A100" s="31">
        <v>501333</v>
      </c>
      <c r="B100" s="31">
        <v>211256</v>
      </c>
      <c r="C100" s="31" t="s">
        <v>347</v>
      </c>
      <c r="D100" s="31" t="s">
        <v>250</v>
      </c>
      <c r="E100" s="31" t="s">
        <v>68</v>
      </c>
      <c r="F100" s="46">
        <v>43344</v>
      </c>
      <c r="G100" s="40">
        <v>43708</v>
      </c>
      <c r="H100" s="36">
        <v>90000</v>
      </c>
      <c r="I100" s="36">
        <v>29997</v>
      </c>
    </row>
    <row r="101" spans="1:9" hidden="1">
      <c r="A101" s="31">
        <v>501333</v>
      </c>
      <c r="B101" s="31">
        <v>212504</v>
      </c>
      <c r="C101" s="31" t="s">
        <v>347</v>
      </c>
      <c r="D101" s="31" t="s">
        <v>255</v>
      </c>
      <c r="E101" s="31" t="s">
        <v>68</v>
      </c>
      <c r="F101" s="46">
        <v>43344</v>
      </c>
      <c r="G101" s="40">
        <v>43708</v>
      </c>
      <c r="H101" s="36">
        <v>90000</v>
      </c>
      <c r="I101" s="36">
        <v>29997</v>
      </c>
    </row>
    <row r="102" spans="1:9" hidden="1">
      <c r="A102" s="31">
        <v>501333</v>
      </c>
      <c r="B102" s="31">
        <v>208748</v>
      </c>
      <c r="C102" s="31" t="s">
        <v>347</v>
      </c>
      <c r="D102" s="31" t="s">
        <v>1747</v>
      </c>
      <c r="E102" s="31" t="s">
        <v>68</v>
      </c>
      <c r="F102" s="46">
        <v>43344</v>
      </c>
      <c r="G102" s="40">
        <v>43708</v>
      </c>
      <c r="H102" s="36">
        <v>45000</v>
      </c>
      <c r="I102" s="36">
        <v>14998.5</v>
      </c>
    </row>
    <row r="103" spans="1:9">
      <c r="A103" s="31">
        <v>501333</v>
      </c>
      <c r="B103" s="31">
        <v>205818</v>
      </c>
      <c r="C103" s="31" t="s">
        <v>347</v>
      </c>
      <c r="D103" s="31" t="s">
        <v>836</v>
      </c>
      <c r="E103" s="31" t="s">
        <v>1727</v>
      </c>
      <c r="F103" s="46">
        <v>43344</v>
      </c>
      <c r="G103" s="40">
        <v>43708</v>
      </c>
      <c r="H103" s="36">
        <v>60000</v>
      </c>
      <c r="I103" s="36">
        <v>19998</v>
      </c>
    </row>
    <row r="104" spans="1:9">
      <c r="A104" s="31">
        <v>501333</v>
      </c>
      <c r="B104" s="31">
        <v>203820</v>
      </c>
      <c r="C104" s="31" t="s">
        <v>347</v>
      </c>
      <c r="D104" s="31" t="s">
        <v>106</v>
      </c>
      <c r="E104" s="31" t="s">
        <v>1727</v>
      </c>
      <c r="F104" s="46">
        <v>43344</v>
      </c>
      <c r="G104" s="40">
        <v>43708</v>
      </c>
      <c r="H104" s="36">
        <v>90000</v>
      </c>
      <c r="I104" s="36">
        <v>29997</v>
      </c>
    </row>
    <row r="105" spans="1:9" hidden="1">
      <c r="A105" s="31">
        <v>501333</v>
      </c>
      <c r="B105" s="31">
        <v>208809</v>
      </c>
      <c r="C105" s="31" t="s">
        <v>347</v>
      </c>
      <c r="D105" s="31" t="s">
        <v>1126</v>
      </c>
      <c r="E105" s="31" t="s">
        <v>53</v>
      </c>
      <c r="F105" s="46">
        <v>43344</v>
      </c>
      <c r="G105" s="40">
        <v>43708</v>
      </c>
      <c r="H105" s="36">
        <v>143491</v>
      </c>
      <c r="I105" s="36">
        <v>47825.550299999995</v>
      </c>
    </row>
    <row r="106" spans="1:9">
      <c r="A106" s="31">
        <v>501333</v>
      </c>
      <c r="B106" s="31">
        <v>212630</v>
      </c>
      <c r="C106" s="31" t="s">
        <v>347</v>
      </c>
      <c r="D106" s="31" t="s">
        <v>1363</v>
      </c>
      <c r="E106" s="31" t="s">
        <v>1727</v>
      </c>
      <c r="F106" s="46">
        <v>43344</v>
      </c>
      <c r="G106" s="40">
        <v>43708</v>
      </c>
      <c r="H106" s="36">
        <v>90000</v>
      </c>
      <c r="I106" s="36">
        <v>29997</v>
      </c>
    </row>
    <row r="107" spans="1:9">
      <c r="A107" s="31">
        <v>501333</v>
      </c>
      <c r="B107" s="31">
        <v>211134</v>
      </c>
      <c r="C107" s="31" t="s">
        <v>347</v>
      </c>
      <c r="D107" s="31" t="s">
        <v>1755</v>
      </c>
      <c r="E107" s="31" t="s">
        <v>1727</v>
      </c>
      <c r="F107" s="46">
        <v>43344</v>
      </c>
      <c r="G107" s="40">
        <v>43708</v>
      </c>
      <c r="H107" s="36">
        <v>75000</v>
      </c>
      <c r="I107" s="36">
        <v>24997.5</v>
      </c>
    </row>
    <row r="108" spans="1:9">
      <c r="A108" s="31">
        <v>501333</v>
      </c>
      <c r="B108" s="31">
        <v>205839</v>
      </c>
      <c r="C108" s="31" t="s">
        <v>347</v>
      </c>
      <c r="D108" s="31" t="s">
        <v>842</v>
      </c>
      <c r="E108" s="31" t="s">
        <v>1727</v>
      </c>
      <c r="F108" s="46">
        <v>43344</v>
      </c>
      <c r="G108" s="40">
        <v>43708</v>
      </c>
      <c r="H108" s="36">
        <v>92024</v>
      </c>
      <c r="I108" s="36">
        <v>30671.599199999997</v>
      </c>
    </row>
    <row r="109" spans="1:9" hidden="1">
      <c r="A109" s="31">
        <v>501333</v>
      </c>
      <c r="B109" s="31" t="s">
        <v>1758</v>
      </c>
      <c r="C109" s="31" t="s">
        <v>347</v>
      </c>
      <c r="D109" s="31" t="s">
        <v>1335</v>
      </c>
      <c r="E109" s="31" t="s">
        <v>68</v>
      </c>
      <c r="F109" s="46">
        <v>43344</v>
      </c>
      <c r="G109" s="40">
        <v>43708</v>
      </c>
      <c r="H109" s="36">
        <v>40000</v>
      </c>
      <c r="I109" s="36">
        <v>13332</v>
      </c>
    </row>
    <row r="110" spans="1:9">
      <c r="A110" s="31">
        <v>501332</v>
      </c>
      <c r="B110" s="31">
        <v>210174</v>
      </c>
      <c r="C110" s="31" t="s">
        <v>347</v>
      </c>
      <c r="D110" s="31" t="s">
        <v>1737</v>
      </c>
      <c r="E110" s="31" t="s">
        <v>1727</v>
      </c>
      <c r="F110" s="46">
        <v>43344</v>
      </c>
      <c r="G110" s="40">
        <v>43708</v>
      </c>
      <c r="H110" s="36">
        <v>83000</v>
      </c>
      <c r="I110" s="36">
        <v>27663.899999999998</v>
      </c>
    </row>
    <row r="111" spans="1:9">
      <c r="A111" s="31">
        <v>501332</v>
      </c>
      <c r="B111" s="31">
        <v>208846</v>
      </c>
      <c r="C111" s="31" t="s">
        <v>347</v>
      </c>
      <c r="D111" s="31" t="s">
        <v>1141</v>
      </c>
      <c r="E111" s="31" t="s">
        <v>1727</v>
      </c>
      <c r="F111" s="46">
        <v>43344</v>
      </c>
      <c r="G111" s="40">
        <v>43708</v>
      </c>
      <c r="H111" s="36">
        <v>25000</v>
      </c>
      <c r="I111" s="36">
        <v>8332.5</v>
      </c>
    </row>
    <row r="112" spans="1:9" hidden="1">
      <c r="A112" s="31">
        <v>501332</v>
      </c>
      <c r="B112" s="31">
        <v>212404</v>
      </c>
      <c r="C112" s="31" t="s">
        <v>347</v>
      </c>
      <c r="D112" s="31" t="s">
        <v>1349</v>
      </c>
      <c r="E112" s="31" t="s">
        <v>68</v>
      </c>
      <c r="F112" s="46">
        <v>43344</v>
      </c>
      <c r="G112" s="40">
        <v>43708</v>
      </c>
      <c r="H112" s="36">
        <v>83000</v>
      </c>
      <c r="I112" s="36">
        <v>27663.899999999998</v>
      </c>
    </row>
    <row r="113" spans="1:9" hidden="1">
      <c r="A113" s="31">
        <v>501332</v>
      </c>
      <c r="B113" s="31">
        <v>212504</v>
      </c>
      <c r="C113" s="31" t="s">
        <v>347</v>
      </c>
      <c r="D113" s="31" t="s">
        <v>255</v>
      </c>
      <c r="E113" s="31" t="s">
        <v>68</v>
      </c>
      <c r="F113" s="46">
        <v>43344</v>
      </c>
      <c r="G113" s="40">
        <v>43708</v>
      </c>
      <c r="H113" s="36">
        <v>60000</v>
      </c>
      <c r="I113" s="36">
        <v>19998</v>
      </c>
    </row>
    <row r="114" spans="1:9">
      <c r="A114" s="31">
        <v>501332</v>
      </c>
      <c r="B114" s="31">
        <v>205818</v>
      </c>
      <c r="C114" s="31" t="s">
        <v>347</v>
      </c>
      <c r="D114" s="31" t="s">
        <v>836</v>
      </c>
      <c r="E114" s="31" t="s">
        <v>1727</v>
      </c>
      <c r="F114" s="46">
        <v>43344</v>
      </c>
      <c r="G114" s="40">
        <v>43708</v>
      </c>
      <c r="H114" s="36">
        <v>25000</v>
      </c>
      <c r="I114" s="36">
        <v>8332.5</v>
      </c>
    </row>
    <row r="115" spans="1:9" hidden="1">
      <c r="A115" s="47">
        <v>500699</v>
      </c>
      <c r="B115" s="48">
        <v>208609</v>
      </c>
      <c r="C115" s="47" t="s">
        <v>347</v>
      </c>
      <c r="D115" s="49" t="s">
        <v>1732</v>
      </c>
      <c r="E115" s="49" t="s">
        <v>82</v>
      </c>
      <c r="F115" s="50">
        <v>43191</v>
      </c>
      <c r="G115" s="50">
        <v>44286</v>
      </c>
      <c r="H115" s="51">
        <v>5000</v>
      </c>
      <c r="I115" s="51">
        <v>1666.5</v>
      </c>
    </row>
    <row r="116" spans="1:9">
      <c r="A116" s="31">
        <v>504877</v>
      </c>
      <c r="B116" s="31">
        <v>209194</v>
      </c>
      <c r="C116" s="31" t="s">
        <v>8</v>
      </c>
      <c r="D116" s="39" t="s">
        <v>1607</v>
      </c>
      <c r="E116" s="39" t="s">
        <v>1727</v>
      </c>
      <c r="F116" s="35">
        <v>43191</v>
      </c>
      <c r="G116" s="35">
        <v>43921</v>
      </c>
      <c r="H116" s="36">
        <v>430880</v>
      </c>
      <c r="I116" s="36">
        <v>143612.304</v>
      </c>
    </row>
    <row r="117" spans="1:9">
      <c r="A117" s="31">
        <v>504878</v>
      </c>
      <c r="B117" s="31">
        <v>209194</v>
      </c>
      <c r="C117" s="31" t="s">
        <v>8</v>
      </c>
      <c r="D117" s="39" t="s">
        <v>1607</v>
      </c>
      <c r="E117" s="39" t="s">
        <v>1727</v>
      </c>
      <c r="F117" s="35">
        <v>43191</v>
      </c>
      <c r="G117" s="35">
        <v>43921</v>
      </c>
      <c r="H117" s="36">
        <v>55600</v>
      </c>
      <c r="I117" s="36">
        <v>18531.48</v>
      </c>
    </row>
    <row r="118" spans="1:9">
      <c r="A118" s="31">
        <v>504879</v>
      </c>
      <c r="B118" s="31">
        <v>108196</v>
      </c>
      <c r="C118" s="31" t="s">
        <v>8</v>
      </c>
      <c r="D118" s="39" t="s">
        <v>1607</v>
      </c>
      <c r="E118" s="39" t="s">
        <v>1727</v>
      </c>
      <c r="F118" s="35">
        <v>43191</v>
      </c>
      <c r="G118" s="35">
        <v>43738</v>
      </c>
      <c r="H118" s="36">
        <v>69120</v>
      </c>
      <c r="I118" s="36">
        <v>23037.696</v>
      </c>
    </row>
    <row r="119" spans="1:9" hidden="1">
      <c r="A119" s="31">
        <v>504875</v>
      </c>
      <c r="B119" s="52">
        <v>209210</v>
      </c>
      <c r="C119" s="52" t="s">
        <v>8</v>
      </c>
      <c r="D119" s="39" t="s">
        <v>1605</v>
      </c>
      <c r="E119" s="39" t="s">
        <v>68</v>
      </c>
      <c r="F119" s="35">
        <v>43070</v>
      </c>
      <c r="G119" s="35">
        <v>44165</v>
      </c>
      <c r="H119" s="36">
        <v>150000</v>
      </c>
      <c r="I119" s="36">
        <v>49995</v>
      </c>
    </row>
    <row r="120" spans="1:9" hidden="1">
      <c r="A120" s="31">
        <v>504839</v>
      </c>
      <c r="B120" s="52">
        <v>209210</v>
      </c>
      <c r="C120" s="52" t="s">
        <v>8</v>
      </c>
      <c r="D120" s="39" t="s">
        <v>1604</v>
      </c>
      <c r="E120" s="39" t="s">
        <v>68</v>
      </c>
      <c r="F120" s="35">
        <v>43070</v>
      </c>
      <c r="G120" s="35">
        <v>44165</v>
      </c>
      <c r="H120" s="36">
        <v>850000</v>
      </c>
      <c r="I120" s="36">
        <v>283305</v>
      </c>
    </row>
    <row r="121" spans="1:9" hidden="1">
      <c r="A121" s="31">
        <v>505362</v>
      </c>
      <c r="B121" s="31">
        <v>209346</v>
      </c>
      <c r="C121" s="31" t="s">
        <v>8</v>
      </c>
      <c r="D121" s="31" t="s">
        <v>130</v>
      </c>
      <c r="E121" s="32" t="s">
        <v>53</v>
      </c>
      <c r="F121" s="35">
        <v>43282</v>
      </c>
      <c r="G121" s="35">
        <v>43555</v>
      </c>
      <c r="H121" s="36">
        <v>150000</v>
      </c>
      <c r="I121" s="36">
        <v>49995</v>
      </c>
    </row>
    <row r="122" spans="1:9" hidden="1">
      <c r="A122" s="31">
        <v>505749</v>
      </c>
      <c r="B122" s="31">
        <v>209403</v>
      </c>
      <c r="C122" s="31" t="s">
        <v>8</v>
      </c>
      <c r="D122" s="31" t="s">
        <v>62</v>
      </c>
      <c r="E122" s="32" t="s">
        <v>53</v>
      </c>
      <c r="F122" s="35">
        <v>43313</v>
      </c>
      <c r="G122" s="35">
        <v>43555</v>
      </c>
      <c r="H122" s="36">
        <v>187500</v>
      </c>
      <c r="I122" s="36">
        <v>62493.75</v>
      </c>
    </row>
    <row r="123" spans="1:9">
      <c r="A123" s="31">
        <v>505794</v>
      </c>
      <c r="B123" s="31">
        <v>108288</v>
      </c>
      <c r="C123" s="31" t="s">
        <v>8</v>
      </c>
      <c r="D123" s="31" t="s">
        <v>1761</v>
      </c>
      <c r="E123" s="31" t="s">
        <v>1727</v>
      </c>
      <c r="F123" s="46">
        <v>43374</v>
      </c>
      <c r="G123" s="40">
        <v>44469</v>
      </c>
      <c r="H123" s="36">
        <v>74400</v>
      </c>
      <c r="I123" s="36">
        <v>24797.52</v>
      </c>
    </row>
    <row r="124" spans="1:9">
      <c r="A124" s="31">
        <v>507158</v>
      </c>
      <c r="B124" s="31">
        <v>209400</v>
      </c>
      <c r="C124" s="31" t="s">
        <v>8</v>
      </c>
      <c r="D124" s="31" t="s">
        <v>1761</v>
      </c>
      <c r="E124" s="31" t="s">
        <v>1727</v>
      </c>
      <c r="F124" s="46">
        <v>43374</v>
      </c>
      <c r="G124" s="40">
        <v>44469</v>
      </c>
      <c r="H124" s="36">
        <v>75600</v>
      </c>
      <c r="I124" s="36">
        <v>25197.48</v>
      </c>
    </row>
    <row r="125" spans="1:9">
      <c r="A125" s="31">
        <v>506210</v>
      </c>
      <c r="B125" s="31">
        <v>108346</v>
      </c>
      <c r="C125" s="31" t="s">
        <v>8</v>
      </c>
      <c r="D125" s="31" t="s">
        <v>1762</v>
      </c>
      <c r="E125" s="31" t="s">
        <v>1727</v>
      </c>
      <c r="F125" s="46">
        <v>43466</v>
      </c>
      <c r="G125" s="40">
        <v>43830</v>
      </c>
      <c r="H125" s="36">
        <v>24800</v>
      </c>
      <c r="I125" s="36">
        <v>8265.84</v>
      </c>
    </row>
    <row r="126" spans="1:9">
      <c r="A126" s="31">
        <v>507036</v>
      </c>
      <c r="B126" s="31">
        <v>209438</v>
      </c>
      <c r="C126" s="31" t="s">
        <v>8</v>
      </c>
      <c r="D126" s="31" t="s">
        <v>1762</v>
      </c>
      <c r="E126" s="31" t="s">
        <v>1727</v>
      </c>
      <c r="F126" s="46">
        <v>43466</v>
      </c>
      <c r="G126" s="40">
        <v>43830</v>
      </c>
      <c r="H126" s="36">
        <v>125200</v>
      </c>
      <c r="I126" s="36">
        <v>41729.159999999996</v>
      </c>
    </row>
    <row r="127" spans="1:9">
      <c r="A127" s="31">
        <v>504223</v>
      </c>
      <c r="B127" s="31">
        <v>209142</v>
      </c>
      <c r="C127" s="31" t="s">
        <v>8</v>
      </c>
      <c r="D127" s="31" t="s">
        <v>1167</v>
      </c>
      <c r="E127" s="31" t="s">
        <v>1727</v>
      </c>
      <c r="F127" s="46">
        <v>43466</v>
      </c>
      <c r="G127" s="40">
        <v>43830</v>
      </c>
      <c r="H127" s="36">
        <v>55600</v>
      </c>
      <c r="I127" s="36">
        <v>18531.48</v>
      </c>
    </row>
    <row r="128" spans="1:9">
      <c r="A128" s="31">
        <v>501814</v>
      </c>
      <c r="B128" s="31" t="s">
        <v>1763</v>
      </c>
      <c r="C128" s="31" t="s">
        <v>8</v>
      </c>
      <c r="D128" s="31" t="s">
        <v>1141</v>
      </c>
      <c r="E128" s="31" t="s">
        <v>1727</v>
      </c>
      <c r="F128" s="46">
        <v>43466</v>
      </c>
      <c r="G128" s="40">
        <v>43830</v>
      </c>
      <c r="H128" s="36">
        <v>55600</v>
      </c>
      <c r="I128" s="36">
        <v>18531.48</v>
      </c>
    </row>
    <row r="129" spans="1:9">
      <c r="A129" s="31">
        <v>504337</v>
      </c>
      <c r="B129" s="31">
        <v>205592</v>
      </c>
      <c r="C129" s="31" t="s">
        <v>19</v>
      </c>
      <c r="D129" s="32" t="s">
        <v>1596</v>
      </c>
      <c r="E129" s="32" t="s">
        <v>1727</v>
      </c>
      <c r="F129" s="35">
        <v>43191</v>
      </c>
      <c r="G129" s="35">
        <v>43555</v>
      </c>
      <c r="H129" s="36">
        <v>74230</v>
      </c>
      <c r="I129" s="36">
        <v>24740.859</v>
      </c>
    </row>
    <row r="130" spans="1:9">
      <c r="A130" s="31">
        <v>504337</v>
      </c>
      <c r="B130" s="31">
        <v>211478</v>
      </c>
      <c r="C130" s="31" t="s">
        <v>19</v>
      </c>
      <c r="D130" s="32" t="s">
        <v>1598</v>
      </c>
      <c r="E130" s="32" t="s">
        <v>1727</v>
      </c>
      <c r="F130" s="35">
        <v>43191</v>
      </c>
      <c r="G130" s="35">
        <v>43555</v>
      </c>
      <c r="H130" s="36">
        <v>24370</v>
      </c>
      <c r="I130" s="36">
        <v>8122.5209999999997</v>
      </c>
    </row>
    <row r="131" spans="1:9">
      <c r="A131" s="38">
        <v>504335</v>
      </c>
      <c r="B131" s="31">
        <v>208897</v>
      </c>
      <c r="C131" s="31" t="s">
        <v>19</v>
      </c>
      <c r="D131" s="32" t="s">
        <v>1594</v>
      </c>
      <c r="E131" s="32" t="s">
        <v>1727</v>
      </c>
      <c r="F131" s="35">
        <v>43191</v>
      </c>
      <c r="G131" s="35">
        <v>43555</v>
      </c>
      <c r="H131" s="36">
        <v>58135</v>
      </c>
      <c r="I131" s="36">
        <v>19376.395499999999</v>
      </c>
    </row>
    <row r="132" spans="1:9">
      <c r="A132" s="38">
        <v>504335</v>
      </c>
      <c r="B132" s="31">
        <v>203820</v>
      </c>
      <c r="C132" s="31" t="s">
        <v>19</v>
      </c>
      <c r="D132" s="32" t="s">
        <v>1592</v>
      </c>
      <c r="E132" s="32" t="s">
        <v>1727</v>
      </c>
      <c r="F132" s="35">
        <v>43191</v>
      </c>
      <c r="G132" s="35">
        <v>43555</v>
      </c>
      <c r="H132" s="36">
        <v>41859</v>
      </c>
      <c r="I132" s="36">
        <v>13951.6047</v>
      </c>
    </row>
    <row r="133" spans="1:9">
      <c r="A133" s="31">
        <v>504334</v>
      </c>
      <c r="B133" s="31">
        <v>202019</v>
      </c>
      <c r="C133" s="31" t="s">
        <v>19</v>
      </c>
      <c r="D133" s="32" t="s">
        <v>1590</v>
      </c>
      <c r="E133" s="32" t="s">
        <v>1727</v>
      </c>
      <c r="F133" s="35">
        <v>43191</v>
      </c>
      <c r="G133" s="35">
        <v>43555</v>
      </c>
      <c r="H133" s="36">
        <v>100000</v>
      </c>
      <c r="I133" s="36">
        <v>33330</v>
      </c>
    </row>
    <row r="134" spans="1:9" hidden="1">
      <c r="A134" s="31">
        <v>504615</v>
      </c>
      <c r="B134" s="31">
        <v>209345</v>
      </c>
      <c r="C134" s="31" t="s">
        <v>19</v>
      </c>
      <c r="D134" s="32" t="s">
        <v>1764</v>
      </c>
      <c r="E134" s="32" t="s">
        <v>68</v>
      </c>
      <c r="F134" s="35">
        <v>43191</v>
      </c>
      <c r="G134" s="35">
        <v>43555</v>
      </c>
      <c r="H134" s="36">
        <v>100000</v>
      </c>
      <c r="I134" s="36">
        <v>33330</v>
      </c>
    </row>
    <row r="135" spans="1:9" hidden="1">
      <c r="A135" s="38">
        <v>504344</v>
      </c>
      <c r="B135" s="31">
        <v>211456</v>
      </c>
      <c r="C135" s="31" t="s">
        <v>19</v>
      </c>
      <c r="D135" s="32" t="s">
        <v>1602</v>
      </c>
      <c r="E135" s="33" t="s">
        <v>1277</v>
      </c>
      <c r="F135" s="35">
        <v>43191</v>
      </c>
      <c r="G135" s="35">
        <v>43555</v>
      </c>
      <c r="H135" s="36">
        <v>85062</v>
      </c>
      <c r="I135" s="36">
        <v>28351.1646</v>
      </c>
    </row>
    <row r="136" spans="1:9" hidden="1">
      <c r="A136" s="38">
        <v>504344</v>
      </c>
      <c r="B136" s="31">
        <v>211218</v>
      </c>
      <c r="C136" s="31" t="s">
        <v>19</v>
      </c>
      <c r="D136" s="32" t="s">
        <v>1600</v>
      </c>
      <c r="E136" s="33" t="s">
        <v>1277</v>
      </c>
      <c r="F136" s="35">
        <v>43191</v>
      </c>
      <c r="G136" s="35">
        <v>43555</v>
      </c>
      <c r="H136" s="36">
        <v>14227</v>
      </c>
      <c r="I136" s="36">
        <v>4741.8590999999997</v>
      </c>
    </row>
    <row r="137" spans="1:9">
      <c r="A137" s="31">
        <v>502560</v>
      </c>
      <c r="B137" s="37">
        <v>205839</v>
      </c>
      <c r="C137" s="31" t="s">
        <v>19</v>
      </c>
      <c r="D137" s="32" t="s">
        <v>1765</v>
      </c>
      <c r="E137" s="32" t="s">
        <v>1727</v>
      </c>
      <c r="F137" s="35">
        <v>43191</v>
      </c>
      <c r="G137" s="35">
        <v>43555</v>
      </c>
      <c r="H137" s="36">
        <v>58400</v>
      </c>
      <c r="I137" s="36">
        <v>19464.719999999998</v>
      </c>
    </row>
    <row r="138" spans="1:9">
      <c r="A138" s="38">
        <v>502560</v>
      </c>
      <c r="B138" s="31">
        <v>203820</v>
      </c>
      <c r="C138" s="31" t="s">
        <v>19</v>
      </c>
      <c r="D138" s="32" t="s">
        <v>1766</v>
      </c>
      <c r="E138" s="32" t="s">
        <v>1727</v>
      </c>
      <c r="F138" s="35">
        <v>43191</v>
      </c>
      <c r="G138" s="35">
        <v>43555</v>
      </c>
      <c r="H138" s="36">
        <v>41600</v>
      </c>
      <c r="I138" s="36">
        <v>13865.279999999999</v>
      </c>
    </row>
    <row r="139" spans="1:9">
      <c r="A139" s="39" t="s">
        <v>1767</v>
      </c>
      <c r="B139" s="39" t="s">
        <v>1768</v>
      </c>
      <c r="C139" s="39" t="s">
        <v>19</v>
      </c>
      <c r="D139" s="39" t="s">
        <v>1769</v>
      </c>
      <c r="E139" s="39" t="s">
        <v>1727</v>
      </c>
      <c r="F139" s="35">
        <v>43191</v>
      </c>
      <c r="G139" s="35">
        <v>43555</v>
      </c>
      <c r="H139" s="36">
        <v>100000</v>
      </c>
      <c r="I139" s="36">
        <v>33330</v>
      </c>
    </row>
    <row r="140" spans="1:9" hidden="1">
      <c r="A140" s="38">
        <v>502801</v>
      </c>
      <c r="B140" s="31">
        <v>203173</v>
      </c>
      <c r="C140" s="39" t="s">
        <v>19</v>
      </c>
      <c r="D140" s="39" t="s">
        <v>270</v>
      </c>
      <c r="E140" s="39" t="s">
        <v>75</v>
      </c>
      <c r="F140" s="35">
        <v>43191</v>
      </c>
      <c r="G140" s="35">
        <v>43555</v>
      </c>
      <c r="H140" s="36">
        <v>30060</v>
      </c>
      <c r="I140" s="36">
        <v>10018.998</v>
      </c>
    </row>
    <row r="141" spans="1:9" hidden="1">
      <c r="A141" s="38">
        <v>502801</v>
      </c>
      <c r="B141" s="31">
        <v>208934</v>
      </c>
      <c r="C141" s="39" t="s">
        <v>19</v>
      </c>
      <c r="D141" s="39" t="s">
        <v>108</v>
      </c>
      <c r="E141" s="39" t="s">
        <v>75</v>
      </c>
      <c r="F141" s="35">
        <v>43191</v>
      </c>
      <c r="G141" s="35">
        <v>43555</v>
      </c>
      <c r="H141" s="36">
        <v>38300</v>
      </c>
      <c r="I141" s="36">
        <v>12765.39</v>
      </c>
    </row>
    <row r="142" spans="1:9" hidden="1">
      <c r="A142" s="38">
        <v>502801</v>
      </c>
      <c r="B142" s="31">
        <v>211974</v>
      </c>
      <c r="C142" s="39" t="s">
        <v>19</v>
      </c>
      <c r="D142" s="39" t="s">
        <v>1770</v>
      </c>
      <c r="E142" s="39" t="s">
        <v>75</v>
      </c>
      <c r="F142" s="35">
        <v>43191</v>
      </c>
      <c r="G142" s="35">
        <v>43555</v>
      </c>
      <c r="H142" s="36">
        <v>31640</v>
      </c>
      <c r="I142" s="36">
        <v>10545.611999999999</v>
      </c>
    </row>
    <row r="143" spans="1:9" hidden="1">
      <c r="A143" s="38">
        <v>502577</v>
      </c>
      <c r="B143" s="31">
        <v>211534</v>
      </c>
      <c r="C143" s="39" t="s">
        <v>19</v>
      </c>
      <c r="D143" s="39" t="s">
        <v>1771</v>
      </c>
      <c r="E143" s="39" t="s">
        <v>68</v>
      </c>
      <c r="F143" s="35">
        <v>43191</v>
      </c>
      <c r="G143" s="35">
        <v>43555</v>
      </c>
      <c r="H143" s="36">
        <v>40000</v>
      </c>
      <c r="I143" s="36">
        <v>13332</v>
      </c>
    </row>
    <row r="144" spans="1:9">
      <c r="A144" s="38">
        <v>502577</v>
      </c>
      <c r="B144" s="31">
        <v>207584</v>
      </c>
      <c r="C144" s="39" t="s">
        <v>19</v>
      </c>
      <c r="D144" s="39" t="s">
        <v>1772</v>
      </c>
      <c r="E144" s="39" t="s">
        <v>1727</v>
      </c>
      <c r="F144" s="35">
        <v>43191</v>
      </c>
      <c r="G144" s="35">
        <v>43555</v>
      </c>
      <c r="H144" s="36">
        <v>60000</v>
      </c>
      <c r="I144" s="36">
        <v>19998</v>
      </c>
    </row>
    <row r="145" spans="1:9">
      <c r="A145" s="31">
        <v>502561</v>
      </c>
      <c r="B145" s="31">
        <v>206205</v>
      </c>
      <c r="C145" s="39" t="s">
        <v>19</v>
      </c>
      <c r="D145" s="39" t="s">
        <v>1773</v>
      </c>
      <c r="E145" s="39" t="s">
        <v>1727</v>
      </c>
      <c r="F145" s="35">
        <v>43191</v>
      </c>
      <c r="G145" s="35">
        <v>43555</v>
      </c>
      <c r="H145" s="36">
        <v>38750</v>
      </c>
      <c r="I145" s="36">
        <v>12915.375</v>
      </c>
    </row>
    <row r="146" spans="1:9">
      <c r="A146" s="31">
        <v>502561</v>
      </c>
      <c r="B146" s="31">
        <v>208217</v>
      </c>
      <c r="C146" s="39" t="s">
        <v>19</v>
      </c>
      <c r="D146" s="39" t="s">
        <v>1774</v>
      </c>
      <c r="E146" s="39" t="s">
        <v>1727</v>
      </c>
      <c r="F146" s="35">
        <v>43191</v>
      </c>
      <c r="G146" s="35">
        <v>43555</v>
      </c>
      <c r="H146" s="36">
        <v>61250</v>
      </c>
      <c r="I146" s="36">
        <v>20414.625</v>
      </c>
    </row>
    <row r="147" spans="1:9">
      <c r="A147" s="31">
        <v>502687</v>
      </c>
      <c r="B147" s="31">
        <v>212639</v>
      </c>
      <c r="C147" s="39" t="s">
        <v>19</v>
      </c>
      <c r="D147" s="39" t="s">
        <v>1775</v>
      </c>
      <c r="E147" s="39" t="s">
        <v>1727</v>
      </c>
      <c r="F147" s="35">
        <v>43191</v>
      </c>
      <c r="G147" s="35">
        <v>43555</v>
      </c>
      <c r="H147" s="36">
        <v>75192</v>
      </c>
      <c r="I147" s="36">
        <v>25061.493599999998</v>
      </c>
    </row>
    <row r="148" spans="1:9">
      <c r="A148" s="31">
        <v>502687</v>
      </c>
      <c r="B148" s="31">
        <v>208628</v>
      </c>
      <c r="C148" s="39" t="s">
        <v>19</v>
      </c>
      <c r="D148" s="39" t="s">
        <v>1776</v>
      </c>
      <c r="E148" s="39" t="s">
        <v>1727</v>
      </c>
      <c r="F148" s="35">
        <v>43191</v>
      </c>
      <c r="G148" s="35">
        <v>43555</v>
      </c>
      <c r="H148" s="36">
        <v>24750</v>
      </c>
      <c r="I148" s="36">
        <v>8249.1749999999993</v>
      </c>
    </row>
    <row r="149" spans="1:9">
      <c r="A149" s="31">
        <v>504321</v>
      </c>
      <c r="B149" s="31">
        <v>205839</v>
      </c>
      <c r="C149" s="31" t="s">
        <v>488</v>
      </c>
      <c r="D149" s="32" t="s">
        <v>1587</v>
      </c>
      <c r="E149" s="32" t="s">
        <v>1727</v>
      </c>
      <c r="F149" s="40">
        <v>43191</v>
      </c>
      <c r="G149" s="41">
        <v>44286</v>
      </c>
      <c r="H149" s="36">
        <v>50000</v>
      </c>
      <c r="I149" s="36">
        <v>16665</v>
      </c>
    </row>
    <row r="150" spans="1:9" hidden="1">
      <c r="A150" s="31">
        <v>504322</v>
      </c>
      <c r="B150" s="31">
        <v>205839</v>
      </c>
      <c r="C150" s="31" t="s">
        <v>488</v>
      </c>
      <c r="D150" s="31" t="s">
        <v>1588</v>
      </c>
      <c r="E150" s="31" t="s">
        <v>68</v>
      </c>
      <c r="F150" s="40">
        <v>43191</v>
      </c>
      <c r="G150" s="41">
        <v>44286</v>
      </c>
      <c r="H150" s="36">
        <v>45833</v>
      </c>
      <c r="I150" s="36">
        <v>15276.1389</v>
      </c>
    </row>
    <row r="151" spans="1:9">
      <c r="A151" s="31">
        <v>504320</v>
      </c>
      <c r="B151" s="31">
        <v>205554</v>
      </c>
      <c r="C151" s="31" t="s">
        <v>488</v>
      </c>
      <c r="D151" s="32" t="s">
        <v>1585</v>
      </c>
      <c r="E151" s="32" t="s">
        <v>1727</v>
      </c>
      <c r="F151" s="40">
        <v>43221</v>
      </c>
      <c r="G151" s="41">
        <v>44286</v>
      </c>
      <c r="H151" s="36">
        <v>45833</v>
      </c>
      <c r="I151" s="36">
        <v>15276.1389</v>
      </c>
    </row>
    <row r="152" spans="1:9" hidden="1">
      <c r="A152" s="31">
        <v>502535</v>
      </c>
      <c r="B152" s="31" t="s">
        <v>1429</v>
      </c>
      <c r="C152" s="31" t="s">
        <v>488</v>
      </c>
      <c r="D152" s="32" t="s">
        <v>1777</v>
      </c>
      <c r="E152" s="32" t="s">
        <v>53</v>
      </c>
      <c r="F152" s="35">
        <v>43070</v>
      </c>
      <c r="G152" s="35">
        <v>43465</v>
      </c>
      <c r="H152" s="36">
        <v>50000</v>
      </c>
      <c r="I152" s="36">
        <v>16665</v>
      </c>
    </row>
    <row r="153" spans="1:9" hidden="1">
      <c r="A153" s="31" t="s">
        <v>1778</v>
      </c>
      <c r="B153" s="37" t="s">
        <v>1779</v>
      </c>
      <c r="C153" s="31" t="s">
        <v>488</v>
      </c>
      <c r="D153" s="33" t="s">
        <v>110</v>
      </c>
      <c r="E153" s="37" t="s">
        <v>53</v>
      </c>
      <c r="F153" s="35">
        <v>42461</v>
      </c>
      <c r="G153" s="35">
        <v>43555</v>
      </c>
      <c r="H153" s="36">
        <v>25000</v>
      </c>
      <c r="I153" s="36">
        <v>8332.5</v>
      </c>
    </row>
    <row r="154" spans="1:9" hidden="1">
      <c r="A154" s="31" t="s">
        <v>1780</v>
      </c>
      <c r="B154" s="37" t="s">
        <v>1781</v>
      </c>
      <c r="C154" s="31" t="s">
        <v>488</v>
      </c>
      <c r="D154" s="33" t="s">
        <v>332</v>
      </c>
      <c r="E154" s="31" t="s">
        <v>82</v>
      </c>
      <c r="F154" s="35">
        <v>42461</v>
      </c>
      <c r="G154" s="35">
        <v>43555</v>
      </c>
      <c r="H154" s="36">
        <v>25000</v>
      </c>
      <c r="I154" s="36">
        <v>8332.5</v>
      </c>
    </row>
    <row r="155" spans="1:9" hidden="1">
      <c r="A155" s="31" t="s">
        <v>1782</v>
      </c>
      <c r="B155" s="42" t="s">
        <v>1783</v>
      </c>
      <c r="C155" s="31" t="s">
        <v>488</v>
      </c>
      <c r="D155" s="39" t="s">
        <v>1784</v>
      </c>
      <c r="E155" s="33" t="s">
        <v>53</v>
      </c>
      <c r="F155" s="35">
        <v>42826</v>
      </c>
      <c r="G155" s="35">
        <v>43921</v>
      </c>
      <c r="H155" s="36">
        <v>4166.6699999999983</v>
      </c>
      <c r="I155" s="36">
        <v>1388.7511109999994</v>
      </c>
    </row>
    <row r="156" spans="1:9" hidden="1">
      <c r="A156" s="31" t="s">
        <v>1785</v>
      </c>
      <c r="B156" s="42" t="s">
        <v>1786</v>
      </c>
      <c r="C156" s="31" t="s">
        <v>488</v>
      </c>
      <c r="D156" s="39" t="s">
        <v>1580</v>
      </c>
      <c r="E156" s="33" t="s">
        <v>82</v>
      </c>
      <c r="F156" s="35">
        <v>42826</v>
      </c>
      <c r="G156" s="35">
        <v>43921</v>
      </c>
      <c r="H156" s="36">
        <v>50000</v>
      </c>
      <c r="I156" s="36">
        <v>16665</v>
      </c>
    </row>
    <row r="157" spans="1:9" hidden="1">
      <c r="A157" s="31" t="s">
        <v>1787</v>
      </c>
      <c r="B157" s="42" t="s">
        <v>1788</v>
      </c>
      <c r="C157" s="31" t="s">
        <v>488</v>
      </c>
      <c r="D157" s="39" t="s">
        <v>1576</v>
      </c>
      <c r="E157" s="33" t="s">
        <v>53</v>
      </c>
      <c r="F157" s="35">
        <v>42826</v>
      </c>
      <c r="G157" s="35">
        <v>43921</v>
      </c>
      <c r="H157" s="36">
        <v>25000</v>
      </c>
      <c r="I157" s="36">
        <v>8332.5</v>
      </c>
    </row>
    <row r="158" spans="1:9" hidden="1">
      <c r="A158" s="31" t="s">
        <v>1789</v>
      </c>
      <c r="B158" s="42" t="s">
        <v>1790</v>
      </c>
      <c r="C158" s="31" t="s">
        <v>488</v>
      </c>
      <c r="D158" s="39" t="s">
        <v>1578</v>
      </c>
      <c r="E158" s="33" t="s">
        <v>82</v>
      </c>
      <c r="F158" s="35">
        <v>42826</v>
      </c>
      <c r="G158" s="35">
        <v>43921</v>
      </c>
      <c r="H158" s="36">
        <v>50000</v>
      </c>
      <c r="I158" s="36">
        <v>16665</v>
      </c>
    </row>
    <row r="159" spans="1:9">
      <c r="A159" s="31" t="s">
        <v>1791</v>
      </c>
      <c r="B159" s="42" t="s">
        <v>1792</v>
      </c>
      <c r="C159" s="31" t="s">
        <v>488</v>
      </c>
      <c r="D159" s="39" t="s">
        <v>1583</v>
      </c>
      <c r="E159" s="33" t="s">
        <v>1727</v>
      </c>
      <c r="F159" s="35">
        <v>42826</v>
      </c>
      <c r="G159" s="35">
        <v>43921</v>
      </c>
      <c r="H159" s="36">
        <v>50000</v>
      </c>
      <c r="I159" s="36">
        <v>16665</v>
      </c>
    </row>
    <row r="160" spans="1:9">
      <c r="A160" s="31">
        <v>505062</v>
      </c>
      <c r="B160" s="31">
        <v>206247</v>
      </c>
      <c r="C160" s="42" t="s">
        <v>488</v>
      </c>
      <c r="D160" s="39" t="s">
        <v>173</v>
      </c>
      <c r="E160" s="39" t="s">
        <v>1727</v>
      </c>
      <c r="F160" s="35">
        <v>43191</v>
      </c>
      <c r="G160" s="35">
        <v>43555</v>
      </c>
      <c r="H160" s="36">
        <v>50000</v>
      </c>
      <c r="I160" s="36">
        <v>16665</v>
      </c>
    </row>
    <row r="161" spans="1:9" hidden="1">
      <c r="A161" s="31" t="s">
        <v>1793</v>
      </c>
      <c r="B161" s="42" t="s">
        <v>1434</v>
      </c>
      <c r="C161" s="42" t="s">
        <v>488</v>
      </c>
      <c r="D161" s="31" t="s">
        <v>255</v>
      </c>
      <c r="E161" s="31" t="s">
        <v>68</v>
      </c>
      <c r="F161" s="35">
        <v>43191</v>
      </c>
      <c r="G161" s="35">
        <v>43555</v>
      </c>
      <c r="H161" s="36">
        <v>50000</v>
      </c>
      <c r="I161" s="36">
        <v>16665</v>
      </c>
    </row>
    <row r="162" spans="1:9">
      <c r="D162" s="31"/>
      <c r="E162" s="31"/>
      <c r="F162" s="46"/>
      <c r="G162" s="40"/>
      <c r="H162" s="36"/>
      <c r="I162" s="36"/>
    </row>
    <row r="163" spans="1:9">
      <c r="D163" s="31"/>
    </row>
    <row r="164" spans="1:9">
      <c r="D164" s="31"/>
      <c r="H164" s="53">
        <v>14454237.67</v>
      </c>
      <c r="I164" s="53">
        <v>4817597.4154109973</v>
      </c>
    </row>
    <row r="166" spans="1:9">
      <c r="H166" s="36">
        <v>19271835.085410997</v>
      </c>
    </row>
    <row r="172" spans="1:9">
      <c r="C172" s="1" t="s">
        <v>161</v>
      </c>
      <c r="D172" s="1" t="s">
        <v>1794</v>
      </c>
      <c r="E172" s="1" t="s">
        <v>90</v>
      </c>
      <c r="F172" s="1" t="s">
        <v>91</v>
      </c>
      <c r="G172" s="54"/>
    </row>
    <row r="173" spans="1:9">
      <c r="C173" s="2" t="s">
        <v>341</v>
      </c>
      <c r="D173" s="55">
        <v>2</v>
      </c>
      <c r="E173" s="56">
        <v>25000</v>
      </c>
      <c r="F173" s="56">
        <v>8332.5</v>
      </c>
      <c r="G173" s="57"/>
    </row>
    <row r="174" spans="1:9">
      <c r="C174" s="2" t="s">
        <v>6</v>
      </c>
      <c r="D174" s="55">
        <v>2</v>
      </c>
      <c r="E174" s="56">
        <v>1332364</v>
      </c>
      <c r="F174" s="56">
        <v>444076.92119999998</v>
      </c>
      <c r="G174" s="57"/>
    </row>
    <row r="175" spans="1:9">
      <c r="C175" s="2" t="s">
        <v>347</v>
      </c>
      <c r="D175" s="55">
        <v>110</v>
      </c>
      <c r="E175" s="56">
        <v>9173916</v>
      </c>
      <c r="F175" s="56">
        <v>3057666.2027999996</v>
      </c>
      <c r="G175" s="57"/>
    </row>
    <row r="176" spans="1:9">
      <c r="C176" s="2" t="s">
        <v>8</v>
      </c>
      <c r="D176" s="55">
        <v>13</v>
      </c>
      <c r="E176" s="56">
        <v>2304300</v>
      </c>
      <c r="F176" s="56">
        <v>768023.19</v>
      </c>
      <c r="G176" s="57"/>
    </row>
    <row r="177" spans="1:9">
      <c r="C177" s="2" t="s">
        <v>19</v>
      </c>
      <c r="D177" s="55">
        <v>20</v>
      </c>
      <c r="E177" s="56">
        <v>1097825</v>
      </c>
      <c r="F177" s="56">
        <v>365905.07250000001</v>
      </c>
      <c r="G177" s="57"/>
    </row>
    <row r="178" spans="1:9">
      <c r="C178" s="2" t="s">
        <v>488</v>
      </c>
      <c r="D178" s="55">
        <v>13</v>
      </c>
      <c r="E178" s="56">
        <v>520832.67</v>
      </c>
      <c r="F178" s="56">
        <v>173593.528911</v>
      </c>
      <c r="G178" s="57"/>
    </row>
    <row r="179" spans="1:9">
      <c r="C179" s="2" t="s">
        <v>105</v>
      </c>
      <c r="D179" s="55">
        <v>160</v>
      </c>
      <c r="E179" s="1">
        <v>14454237.67</v>
      </c>
      <c r="F179" s="1">
        <v>4817597.4154109973</v>
      </c>
      <c r="G179" s="58">
        <v>19271835.085410997</v>
      </c>
    </row>
    <row r="180" spans="1:9" ht="3.6" customHeight="1">
      <c r="A180" s="59"/>
      <c r="B180" s="59"/>
      <c r="C180" s="59"/>
      <c r="D180" s="60"/>
      <c r="E180" s="60"/>
      <c r="F180" s="61"/>
      <c r="G180" s="61"/>
      <c r="H180" s="60"/>
      <c r="I180" s="60"/>
    </row>
    <row r="182" spans="1:9" ht="17.25" thickBot="1">
      <c r="C182" s="3" t="s">
        <v>1795</v>
      </c>
    </row>
    <row r="183" spans="1:9">
      <c r="C183" s="62" t="s">
        <v>161</v>
      </c>
      <c r="D183" s="63" t="s">
        <v>1796</v>
      </c>
      <c r="E183" s="62" t="s">
        <v>1797</v>
      </c>
      <c r="F183" s="62" t="s">
        <v>1798</v>
      </c>
      <c r="G183" s="64" t="s">
        <v>11</v>
      </c>
    </row>
    <row r="184" spans="1:9">
      <c r="C184" s="65" t="s">
        <v>19</v>
      </c>
      <c r="D184" s="66">
        <v>20</v>
      </c>
      <c r="E184" s="67">
        <v>1097825</v>
      </c>
      <c r="F184" s="67">
        <v>365905.07250000001</v>
      </c>
      <c r="G184" s="68">
        <v>1463730.0725</v>
      </c>
    </row>
    <row r="185" spans="1:9">
      <c r="C185" s="65" t="s">
        <v>488</v>
      </c>
      <c r="D185" s="66">
        <v>14</v>
      </c>
      <c r="E185" s="67">
        <v>520832.67</v>
      </c>
      <c r="F185" s="67">
        <v>173593.528911</v>
      </c>
      <c r="G185" s="68">
        <v>694426.19891100004</v>
      </c>
    </row>
    <row r="186" spans="1:9">
      <c r="C186" s="65" t="s">
        <v>347</v>
      </c>
      <c r="D186" s="66">
        <v>104</v>
      </c>
      <c r="E186" s="67">
        <v>9173916</v>
      </c>
      <c r="F186" s="67">
        <v>3057666.2027999996</v>
      </c>
      <c r="G186" s="68">
        <v>12231582.2028</v>
      </c>
    </row>
    <row r="187" spans="1:9">
      <c r="C187" s="65" t="s">
        <v>8</v>
      </c>
      <c r="D187" s="66">
        <v>8</v>
      </c>
      <c r="E187" s="67">
        <v>2304300</v>
      </c>
      <c r="F187" s="67">
        <v>768023.19</v>
      </c>
      <c r="G187" s="68">
        <v>3072323.19</v>
      </c>
    </row>
    <row r="188" spans="1:9">
      <c r="C188" s="65" t="s">
        <v>6</v>
      </c>
      <c r="D188" s="66" t="s">
        <v>7</v>
      </c>
      <c r="E188" s="67">
        <v>1332364</v>
      </c>
      <c r="F188" s="67">
        <v>444076.92119999998</v>
      </c>
      <c r="G188" s="68">
        <v>1776440.9212</v>
      </c>
    </row>
    <row r="189" spans="1:9">
      <c r="C189" s="65" t="s">
        <v>341</v>
      </c>
      <c r="D189" s="66">
        <v>2</v>
      </c>
      <c r="E189" s="67">
        <v>25000</v>
      </c>
      <c r="F189" s="67">
        <v>8332.5</v>
      </c>
      <c r="G189" s="68">
        <v>33332.5</v>
      </c>
    </row>
    <row r="190" spans="1:9">
      <c r="C190" s="69" t="s">
        <v>105</v>
      </c>
      <c r="D190" s="70">
        <v>148</v>
      </c>
      <c r="E190" s="71">
        <v>14454237.67</v>
      </c>
      <c r="F190" s="71">
        <v>4817597.4154109992</v>
      </c>
      <c r="G190" s="72">
        <v>19271835.085411001</v>
      </c>
    </row>
    <row r="191" spans="1:9">
      <c r="C191" s="73"/>
      <c r="D191" s="74"/>
      <c r="E191" s="74"/>
      <c r="F191" s="74"/>
      <c r="G191" s="74"/>
    </row>
    <row r="192" spans="1:9" ht="35.25" customHeight="1">
      <c r="C192" s="75" t="s">
        <v>1799</v>
      </c>
      <c r="D192" s="76"/>
      <c r="E192" s="76"/>
      <c r="F192" s="77"/>
      <c r="G192" s="77"/>
    </row>
  </sheetData>
  <pageMargins left="0.7" right="0.7" top="0.75" bottom="0.75" header="0.3" footer="0.3"/>
  <legacy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H15"/>
  <sheetViews>
    <sheetView showGridLines="0" zoomScaleNormal="100" workbookViewId="0">
      <selection activeCell="D8" sqref="D8"/>
    </sheetView>
  </sheetViews>
  <sheetFormatPr defaultColWidth="9.140625" defaultRowHeight="15"/>
  <cols>
    <col min="1" max="2" width="7.85546875" style="4" bestFit="1" customWidth="1"/>
    <col min="3" max="3" width="38.7109375" style="4" bestFit="1" customWidth="1"/>
    <col min="4" max="4" width="16.28515625" style="13" bestFit="1" customWidth="1"/>
    <col min="5" max="5" width="16.42578125" style="21" customWidth="1"/>
    <col min="6" max="6" width="14.42578125" style="10" customWidth="1"/>
    <col min="7" max="7" width="17.85546875" style="8" bestFit="1" customWidth="1"/>
    <col min="8" max="8" width="16.42578125" style="8" bestFit="1" customWidth="1"/>
    <col min="9" max="10" width="9.140625" style="9"/>
    <col min="11" max="11" width="28.42578125" style="9" customWidth="1"/>
    <col min="12" max="12" width="10.7109375" style="9" customWidth="1"/>
    <col min="13" max="13" width="15.28515625" style="9" bestFit="1" customWidth="1"/>
    <col min="14" max="14" width="14.28515625" style="9" bestFit="1" customWidth="1"/>
    <col min="15" max="15" width="30.7109375" style="9" customWidth="1"/>
    <col min="16" max="16" width="26.42578125" style="9" customWidth="1"/>
    <col min="17" max="17" width="33" style="9" customWidth="1"/>
    <col min="18" max="18" width="27.7109375" style="9" customWidth="1"/>
    <col min="19" max="19" width="29.85546875" style="9" customWidth="1"/>
    <col min="20" max="20" width="21.5703125" style="9" customWidth="1"/>
    <col min="21" max="21" width="31.85546875" style="9" customWidth="1"/>
    <col min="22" max="22" width="27" style="9" customWidth="1"/>
    <col min="23" max="23" width="30" style="9" customWidth="1"/>
    <col min="24" max="24" width="29.85546875" style="9" customWidth="1"/>
    <col min="25" max="25" width="30.42578125" style="9" customWidth="1"/>
    <col min="26" max="26" width="10.5703125" style="9" customWidth="1"/>
    <col min="27" max="27" width="29.28515625" style="9" customWidth="1"/>
    <col min="28" max="28" width="31.5703125" style="9" customWidth="1"/>
    <col min="29" max="29" width="30.28515625" style="9" customWidth="1"/>
    <col min="30" max="30" width="28.28515625" style="9" customWidth="1"/>
    <col min="31" max="31" width="16.5703125" style="9" customWidth="1"/>
    <col min="32" max="32" width="31.7109375" style="9" customWidth="1"/>
    <col min="33" max="33" width="26.140625" style="9" customWidth="1"/>
    <col min="34" max="34" width="20" style="9" customWidth="1"/>
    <col min="35" max="35" width="18" style="9" customWidth="1"/>
    <col min="36" max="36" width="34" style="9" customWidth="1"/>
    <col min="37" max="37" width="19.140625" style="9" customWidth="1"/>
    <col min="38" max="38" width="23" style="9" customWidth="1"/>
    <col min="39" max="39" width="23.28515625" style="9" customWidth="1"/>
    <col min="40" max="40" width="19.85546875" style="9" customWidth="1"/>
    <col min="41" max="41" width="33.5703125" style="9" customWidth="1"/>
    <col min="42" max="42" width="23.85546875" style="9" customWidth="1"/>
    <col min="43" max="43" width="19.7109375" style="9" customWidth="1"/>
    <col min="44" max="44" width="22.42578125" style="9" customWidth="1"/>
    <col min="45" max="45" width="31" style="9" customWidth="1"/>
    <col min="46" max="46" width="21.140625" style="9" customWidth="1"/>
    <col min="47" max="47" width="31.28515625" style="9" customWidth="1"/>
    <col min="48" max="48" width="36.28515625" style="9" customWidth="1"/>
    <col min="49" max="49" width="29.42578125" style="9" customWidth="1"/>
    <col min="50" max="50" width="32.28515625" style="9" customWidth="1"/>
    <col min="51" max="51" width="19.140625" style="9" customWidth="1"/>
    <col min="52" max="52" width="30.28515625" style="9" customWidth="1"/>
    <col min="53" max="53" width="32.7109375" style="9" customWidth="1"/>
    <col min="54" max="54" width="31" style="9" customWidth="1"/>
    <col min="55" max="55" width="31.7109375" style="9" customWidth="1"/>
    <col min="56" max="56" width="16.7109375" style="9" customWidth="1"/>
    <col min="57" max="57" width="28.28515625" style="9" customWidth="1"/>
    <col min="58" max="58" width="29.85546875" style="9" customWidth="1"/>
    <col min="59" max="59" width="21.42578125" style="9" customWidth="1"/>
    <col min="60" max="60" width="11" style="9" customWidth="1"/>
    <col min="61" max="61" width="23" style="9" customWidth="1"/>
    <col min="62" max="62" width="30.5703125" style="9" customWidth="1"/>
    <col min="63" max="63" width="31.28515625" style="9" customWidth="1"/>
    <col min="64" max="64" width="29.28515625" style="9" customWidth="1"/>
    <col min="65" max="65" width="20.5703125" style="9" customWidth="1"/>
    <col min="66" max="66" width="27.28515625" style="9" customWidth="1"/>
    <col min="67" max="67" width="27.85546875" style="9" customWidth="1"/>
    <col min="68" max="68" width="30" style="9" customWidth="1"/>
    <col min="69" max="69" width="20.140625" style="9" customWidth="1"/>
    <col min="70" max="70" width="21.140625" style="9" customWidth="1"/>
    <col min="71" max="71" width="27.7109375" style="9" customWidth="1"/>
    <col min="72" max="72" width="23.42578125" style="9" customWidth="1"/>
    <col min="73" max="73" width="28.5703125" style="9" customWidth="1"/>
    <col min="74" max="74" width="25.85546875" style="9" customWidth="1"/>
    <col min="75" max="75" width="28.28515625" style="9" customWidth="1"/>
    <col min="76" max="76" width="35" style="9" customWidth="1"/>
    <col min="77" max="77" width="22.7109375" style="9" customWidth="1"/>
    <col min="78" max="78" width="32.85546875" style="9" customWidth="1"/>
    <col min="79" max="79" width="31.42578125" style="9" customWidth="1"/>
    <col min="80" max="80" width="33.28515625" style="9" customWidth="1"/>
    <col min="81" max="81" width="34.5703125" style="9" customWidth="1"/>
    <col min="82" max="82" width="22.42578125" style="9" customWidth="1"/>
    <col min="83" max="83" width="30.7109375" style="9" customWidth="1"/>
    <col min="84" max="84" width="29.7109375" style="9" customWidth="1"/>
    <col min="85" max="85" width="27.28515625" style="9" customWidth="1"/>
    <col min="86" max="86" width="30.28515625" style="9" customWidth="1"/>
    <col min="87" max="87" width="27.42578125" style="9" customWidth="1"/>
    <col min="88" max="88" width="21.5703125" style="9" customWidth="1"/>
    <col min="89" max="89" width="15.5703125" style="9" customWidth="1"/>
    <col min="90" max="91" width="30.5703125" style="9" customWidth="1"/>
    <col min="92" max="92" width="29" style="9" customWidth="1"/>
    <col min="93" max="93" width="28.140625" style="9" customWidth="1"/>
    <col min="94" max="94" width="33.85546875" style="9" customWidth="1"/>
    <col min="95" max="95" width="23" style="9" customWidth="1"/>
    <col min="96" max="96" width="17.5703125" style="9" customWidth="1"/>
    <col min="97" max="97" width="30.140625" style="9" customWidth="1"/>
    <col min="98" max="98" width="28.28515625" style="9" customWidth="1"/>
    <col min="99" max="99" width="21.85546875" style="9" customWidth="1"/>
    <col min="100" max="100" width="24.5703125" style="9" customWidth="1"/>
    <col min="101" max="101" width="8.42578125" style="9" customWidth="1"/>
    <col min="102" max="102" width="30.5703125" style="9" customWidth="1"/>
    <col min="103" max="103" width="21.85546875" style="9" customWidth="1"/>
    <col min="104" max="104" width="17.85546875" style="9" customWidth="1"/>
    <col min="105" max="105" width="28.85546875" style="9" customWidth="1"/>
    <col min="106" max="106" width="31.140625" style="9" customWidth="1"/>
    <col min="107" max="108" width="22.140625" style="9" bestFit="1" customWidth="1"/>
    <col min="109" max="109" width="34.7109375" style="9" bestFit="1" customWidth="1"/>
    <col min="110" max="110" width="36" style="9" bestFit="1" customWidth="1"/>
    <col min="111" max="111" width="22.5703125" style="9" bestFit="1" customWidth="1"/>
    <col min="112" max="112" width="32.5703125" style="9" bestFit="1" customWidth="1"/>
    <col min="113" max="113" width="32.7109375" style="9" bestFit="1" customWidth="1"/>
    <col min="114" max="114" width="28.140625" style="9" bestFit="1" customWidth="1"/>
    <col min="115" max="115" width="14" style="9" bestFit="1" customWidth="1"/>
    <col min="116" max="116" width="28.5703125" style="9" bestFit="1" customWidth="1"/>
    <col min="117" max="117" width="31.5703125" style="9" bestFit="1" customWidth="1"/>
    <col min="118" max="118" width="31.7109375" style="9" bestFit="1" customWidth="1"/>
    <col min="119" max="119" width="22.85546875" style="9" bestFit="1" customWidth="1"/>
    <col min="120" max="120" width="22.42578125" style="9" bestFit="1" customWidth="1"/>
    <col min="121" max="121" width="32.28515625" style="9" bestFit="1" customWidth="1"/>
    <col min="122" max="122" width="33.140625" style="9" bestFit="1" customWidth="1"/>
    <col min="123" max="123" width="34.85546875" style="9" bestFit="1" customWidth="1"/>
    <col min="124" max="124" width="34" style="9" bestFit="1" customWidth="1"/>
    <col min="125" max="125" width="23.42578125" style="9" bestFit="1" customWidth="1"/>
    <col min="126" max="126" width="24" style="9" bestFit="1" customWidth="1"/>
    <col min="127" max="127" width="22" style="9" bestFit="1" customWidth="1"/>
    <col min="128" max="128" width="29" style="9" bestFit="1" customWidth="1"/>
    <col min="129" max="129" width="31.28515625" style="9" bestFit="1" customWidth="1"/>
    <col min="130" max="130" width="22.140625" style="9" bestFit="1" customWidth="1"/>
    <col min="131" max="131" width="23.5703125" style="9" bestFit="1" customWidth="1"/>
    <col min="132" max="132" width="28.28515625" style="9" bestFit="1" customWidth="1"/>
    <col min="133" max="133" width="22.28515625" style="9" bestFit="1" customWidth="1"/>
    <col min="134" max="134" width="21" style="9" bestFit="1" customWidth="1"/>
    <col min="135" max="135" width="15.42578125" style="9" bestFit="1" customWidth="1"/>
    <col min="136" max="136" width="37" style="9" bestFit="1" customWidth="1"/>
    <col min="137" max="137" width="37.28515625" style="9" bestFit="1" customWidth="1"/>
    <col min="138" max="138" width="37.5703125" style="9" bestFit="1" customWidth="1"/>
    <col min="139" max="139" width="36.7109375" style="9" bestFit="1" customWidth="1"/>
    <col min="140" max="140" width="35.7109375" style="9" bestFit="1" customWidth="1"/>
    <col min="141" max="141" width="32.28515625" style="9" bestFit="1" customWidth="1"/>
    <col min="142" max="142" width="32.5703125" style="9" bestFit="1" customWidth="1"/>
    <col min="143" max="143" width="22.140625" style="9" bestFit="1" customWidth="1"/>
    <col min="144" max="144" width="18.7109375" style="9" bestFit="1" customWidth="1"/>
    <col min="145" max="145" width="23.42578125" style="9" bestFit="1" customWidth="1"/>
    <col min="146" max="146" width="31.7109375" style="9" bestFit="1" customWidth="1"/>
    <col min="147" max="147" width="22.85546875" style="9" bestFit="1" customWidth="1"/>
    <col min="148" max="148" width="23.140625" style="9" bestFit="1" customWidth="1"/>
    <col min="149" max="149" width="30.7109375" style="9" bestFit="1" customWidth="1"/>
    <col min="150" max="150" width="28.85546875" style="9" bestFit="1" customWidth="1"/>
    <col min="151" max="151" width="22.140625" style="9" bestFit="1" customWidth="1"/>
    <col min="152" max="152" width="22.85546875" style="9" bestFit="1" customWidth="1"/>
    <col min="153" max="153" width="25.7109375" style="9" bestFit="1" customWidth="1"/>
    <col min="154" max="154" width="26.7109375" style="9" bestFit="1" customWidth="1"/>
    <col min="155" max="155" width="17.85546875" style="9" bestFit="1" customWidth="1"/>
    <col min="156" max="156" width="7" style="9" customWidth="1"/>
    <col min="157" max="157" width="22.85546875" style="9" bestFit="1" customWidth="1"/>
    <col min="158" max="158" width="16.85546875" style="9" bestFit="1" customWidth="1"/>
    <col min="159" max="159" width="21.140625" style="9" bestFit="1" customWidth="1"/>
    <col min="160" max="160" width="30" style="9" bestFit="1" customWidth="1"/>
    <col min="161" max="161" width="30.140625" style="9" bestFit="1" customWidth="1"/>
    <col min="162" max="162" width="32.5703125" style="9" bestFit="1" customWidth="1"/>
    <col min="163" max="163" width="30.7109375" style="9" bestFit="1" customWidth="1"/>
    <col min="164" max="164" width="26.42578125" style="9" bestFit="1" customWidth="1"/>
    <col min="165" max="165" width="33" style="9" bestFit="1" customWidth="1"/>
    <col min="166" max="166" width="27.7109375" style="9" bestFit="1" customWidth="1"/>
    <col min="167" max="167" width="29.85546875" style="9" bestFit="1" customWidth="1"/>
    <col min="168" max="168" width="21.5703125" style="9" bestFit="1" customWidth="1"/>
    <col min="169" max="169" width="31.85546875" style="9" bestFit="1" customWidth="1"/>
    <col min="170" max="170" width="27" style="9" bestFit="1" customWidth="1"/>
    <col min="171" max="171" width="30" style="9" bestFit="1" customWidth="1"/>
    <col min="172" max="172" width="29.85546875" style="9" bestFit="1" customWidth="1"/>
    <col min="173" max="173" width="30.42578125" style="9" bestFit="1" customWidth="1"/>
    <col min="174" max="174" width="10.5703125" style="9" bestFit="1" customWidth="1"/>
    <col min="175" max="175" width="29.28515625" style="9" bestFit="1" customWidth="1"/>
    <col min="176" max="176" width="31.5703125" style="9" bestFit="1" customWidth="1"/>
    <col min="177" max="177" width="30.28515625" style="9" bestFit="1" customWidth="1"/>
    <col min="178" max="178" width="28.28515625" style="9" bestFit="1" customWidth="1"/>
    <col min="179" max="179" width="16.5703125" style="9" bestFit="1" customWidth="1"/>
    <col min="180" max="180" width="31.7109375" style="9" bestFit="1" customWidth="1"/>
    <col min="181" max="181" width="26.140625" style="9" bestFit="1" customWidth="1"/>
    <col min="182" max="182" width="20" style="9" bestFit="1" customWidth="1"/>
    <col min="183" max="183" width="18" style="9" bestFit="1" customWidth="1"/>
    <col min="184" max="184" width="34" style="9" bestFit="1" customWidth="1"/>
    <col min="185" max="185" width="19.140625" style="9" bestFit="1" customWidth="1"/>
    <col min="186" max="186" width="23" style="9" bestFit="1" customWidth="1"/>
    <col min="187" max="187" width="23.28515625" style="9" bestFit="1" customWidth="1"/>
    <col min="188" max="188" width="19.85546875" style="9" bestFit="1" customWidth="1"/>
    <col min="189" max="189" width="33.5703125" style="9" bestFit="1" customWidth="1"/>
    <col min="190" max="190" width="23.85546875" style="9" bestFit="1" customWidth="1"/>
    <col min="191" max="191" width="19.7109375" style="9" bestFit="1" customWidth="1"/>
    <col min="192" max="192" width="22.42578125" style="9" bestFit="1" customWidth="1"/>
    <col min="193" max="193" width="31" style="9" bestFit="1" customWidth="1"/>
    <col min="194" max="194" width="21.140625" style="9" bestFit="1" customWidth="1"/>
    <col min="195" max="195" width="31.28515625" style="9" bestFit="1" customWidth="1"/>
    <col min="196" max="196" width="36.28515625" style="9" bestFit="1" customWidth="1"/>
    <col min="197" max="197" width="29.42578125" style="9" bestFit="1" customWidth="1"/>
    <col min="198" max="198" width="32.28515625" style="9" bestFit="1" customWidth="1"/>
    <col min="199" max="199" width="19.140625" style="9" bestFit="1" customWidth="1"/>
    <col min="200" max="200" width="30.28515625" style="9" bestFit="1" customWidth="1"/>
    <col min="201" max="201" width="32.7109375" style="9" bestFit="1" customWidth="1"/>
    <col min="202" max="202" width="31" style="9" bestFit="1" customWidth="1"/>
    <col min="203" max="203" width="31.7109375" style="9" bestFit="1" customWidth="1"/>
    <col min="204" max="204" width="16.7109375" style="9" bestFit="1" customWidth="1"/>
    <col min="205" max="205" width="28.28515625" style="9" bestFit="1" customWidth="1"/>
    <col min="206" max="206" width="29.85546875" style="9" bestFit="1" customWidth="1"/>
    <col min="207" max="207" width="21.42578125" style="9" bestFit="1" customWidth="1"/>
    <col min="208" max="208" width="11" style="9" bestFit="1" customWidth="1"/>
    <col min="209" max="209" width="23" style="9" bestFit="1" customWidth="1"/>
    <col min="210" max="210" width="30.5703125" style="9" bestFit="1" customWidth="1"/>
    <col min="211" max="211" width="31.28515625" style="9" bestFit="1" customWidth="1"/>
    <col min="212" max="212" width="29.28515625" style="9" bestFit="1" customWidth="1"/>
    <col min="213" max="213" width="20.5703125" style="9" bestFit="1" customWidth="1"/>
    <col min="214" max="214" width="27.28515625" style="9" bestFit="1" customWidth="1"/>
    <col min="215" max="215" width="27.85546875" style="9" bestFit="1" customWidth="1"/>
    <col min="216" max="216" width="30" style="9" bestFit="1" customWidth="1"/>
    <col min="217" max="217" width="20.140625" style="9" bestFit="1" customWidth="1"/>
    <col min="218" max="218" width="21.140625" style="9" bestFit="1" customWidth="1"/>
    <col min="219" max="219" width="27.7109375" style="9" bestFit="1" customWidth="1"/>
    <col min="220" max="220" width="23.42578125" style="9" bestFit="1" customWidth="1"/>
    <col min="221" max="221" width="28.5703125" style="9" bestFit="1" customWidth="1"/>
    <col min="222" max="222" width="25.85546875" style="9" bestFit="1" customWidth="1"/>
    <col min="223" max="223" width="28.28515625" style="9" bestFit="1" customWidth="1"/>
    <col min="224" max="224" width="35" style="9" bestFit="1" customWidth="1"/>
    <col min="225" max="225" width="22.7109375" style="9" bestFit="1" customWidth="1"/>
    <col min="226" max="226" width="32.85546875" style="9" bestFit="1" customWidth="1"/>
    <col min="227" max="227" width="31.42578125" style="9" bestFit="1" customWidth="1"/>
    <col min="228" max="228" width="33.28515625" style="9" bestFit="1" customWidth="1"/>
    <col min="229" max="229" width="34.5703125" style="9" bestFit="1" customWidth="1"/>
    <col min="230" max="230" width="22.42578125" style="9" bestFit="1" customWidth="1"/>
    <col min="231" max="231" width="30.7109375" style="9" bestFit="1" customWidth="1"/>
    <col min="232" max="232" width="29.7109375" style="9" bestFit="1" customWidth="1"/>
    <col min="233" max="233" width="27.28515625" style="9" bestFit="1" customWidth="1"/>
    <col min="234" max="234" width="30.28515625" style="9" bestFit="1" customWidth="1"/>
    <col min="235" max="235" width="27.42578125" style="9" bestFit="1" customWidth="1"/>
    <col min="236" max="236" width="21.5703125" style="9" bestFit="1" customWidth="1"/>
    <col min="237" max="237" width="15.5703125" style="9" bestFit="1" customWidth="1"/>
    <col min="238" max="239" width="30.5703125" style="9" bestFit="1" customWidth="1"/>
    <col min="240" max="240" width="29" style="9" bestFit="1" customWidth="1"/>
    <col min="241" max="241" width="28.140625" style="9" bestFit="1" customWidth="1"/>
    <col min="242" max="242" width="33.85546875" style="9" bestFit="1" customWidth="1"/>
    <col min="243" max="243" width="23" style="9" bestFit="1" customWidth="1"/>
    <col min="244" max="244" width="17.5703125" style="9" bestFit="1" customWidth="1"/>
    <col min="245" max="245" width="30.140625" style="9" bestFit="1" customWidth="1"/>
    <col min="246" max="246" width="28.28515625" style="9" bestFit="1" customWidth="1"/>
    <col min="247" max="247" width="21.85546875" style="9" bestFit="1" customWidth="1"/>
    <col min="248" max="248" width="24.5703125" style="9" bestFit="1" customWidth="1"/>
    <col min="249" max="249" width="10" style="9" bestFit="1" customWidth="1"/>
    <col min="250" max="250" width="30.5703125" style="9" bestFit="1" customWidth="1"/>
    <col min="251" max="251" width="21.85546875" style="9" bestFit="1" customWidth="1"/>
    <col min="252" max="252" width="17.85546875" style="9" bestFit="1" customWidth="1"/>
    <col min="253" max="253" width="28.85546875" style="9" bestFit="1" customWidth="1"/>
    <col min="254" max="254" width="31.140625" style="9" bestFit="1" customWidth="1"/>
    <col min="255" max="256" width="22.140625" style="9" bestFit="1" customWidth="1"/>
    <col min="257" max="257" width="34.7109375" style="9" bestFit="1" customWidth="1"/>
    <col min="258" max="258" width="36" style="9" bestFit="1" customWidth="1"/>
    <col min="259" max="259" width="22.5703125" style="9" bestFit="1" customWidth="1"/>
    <col min="260" max="260" width="32.5703125" style="9" bestFit="1" customWidth="1"/>
    <col min="261" max="261" width="32.7109375" style="9" bestFit="1" customWidth="1"/>
    <col min="262" max="262" width="28.140625" style="9" bestFit="1" customWidth="1"/>
    <col min="263" max="263" width="14" style="9" bestFit="1" customWidth="1"/>
    <col min="264" max="264" width="28.5703125" style="9" bestFit="1" customWidth="1"/>
    <col min="265" max="265" width="31.5703125" style="9" bestFit="1" customWidth="1"/>
    <col min="266" max="266" width="31.7109375" style="9" bestFit="1" customWidth="1"/>
    <col min="267" max="267" width="22.85546875" style="9" bestFit="1" customWidth="1"/>
    <col min="268" max="268" width="22.42578125" style="9" bestFit="1" customWidth="1"/>
    <col min="269" max="269" width="32.28515625" style="9" bestFit="1" customWidth="1"/>
    <col min="270" max="270" width="33.140625" style="9" bestFit="1" customWidth="1"/>
    <col min="271" max="271" width="34.85546875" style="9" bestFit="1" customWidth="1"/>
    <col min="272" max="272" width="34" style="9" bestFit="1" customWidth="1"/>
    <col min="273" max="273" width="23.42578125" style="9" bestFit="1" customWidth="1"/>
    <col min="274" max="274" width="24" style="9" bestFit="1" customWidth="1"/>
    <col min="275" max="275" width="22" style="9" bestFit="1" customWidth="1"/>
    <col min="276" max="276" width="29" style="9" bestFit="1" customWidth="1"/>
    <col min="277" max="277" width="31.28515625" style="9" bestFit="1" customWidth="1"/>
    <col min="278" max="278" width="22.140625" style="9" bestFit="1" customWidth="1"/>
    <col min="279" max="279" width="23.5703125" style="9" bestFit="1" customWidth="1"/>
    <col min="280" max="280" width="28.28515625" style="9" bestFit="1" customWidth="1"/>
    <col min="281" max="281" width="22.28515625" style="9" bestFit="1" customWidth="1"/>
    <col min="282" max="282" width="21" style="9" bestFit="1" customWidth="1"/>
    <col min="283" max="283" width="15.42578125" style="9" bestFit="1" customWidth="1"/>
    <col min="284" max="284" width="37" style="9" bestFit="1" customWidth="1"/>
    <col min="285" max="285" width="37.28515625" style="9" bestFit="1" customWidth="1"/>
    <col min="286" max="286" width="37.5703125" style="9" bestFit="1" customWidth="1"/>
    <col min="287" max="287" width="36.7109375" style="9" bestFit="1" customWidth="1"/>
    <col min="288" max="288" width="35.7109375" style="9" bestFit="1" customWidth="1"/>
    <col min="289" max="289" width="32.28515625" style="9" bestFit="1" customWidth="1"/>
    <col min="290" max="290" width="32.5703125" style="9" bestFit="1" customWidth="1"/>
    <col min="291" max="291" width="22.140625" style="9" bestFit="1" customWidth="1"/>
    <col min="292" max="292" width="18.7109375" style="9" bestFit="1" customWidth="1"/>
    <col min="293" max="293" width="23.42578125" style="9" bestFit="1" customWidth="1"/>
    <col min="294" max="294" width="31.7109375" style="9" bestFit="1" customWidth="1"/>
    <col min="295" max="295" width="22.85546875" style="9" bestFit="1" customWidth="1"/>
    <col min="296" max="296" width="23.140625" style="9" bestFit="1" customWidth="1"/>
    <col min="297" max="297" width="30.7109375" style="9" bestFit="1" customWidth="1"/>
    <col min="298" max="298" width="28.85546875" style="9" bestFit="1" customWidth="1"/>
    <col min="299" max="299" width="22.140625" style="9" bestFit="1" customWidth="1"/>
    <col min="300" max="300" width="22.85546875" style="9" bestFit="1" customWidth="1"/>
    <col min="301" max="301" width="25.7109375" style="9" bestFit="1" customWidth="1"/>
    <col min="302" max="302" width="26.7109375" style="9" bestFit="1" customWidth="1"/>
    <col min="303" max="303" width="17.85546875" style="9" bestFit="1" customWidth="1"/>
    <col min="304" max="304" width="7" style="9" customWidth="1"/>
    <col min="305" max="305" width="22.85546875" style="9" bestFit="1" customWidth="1"/>
    <col min="306" max="306" width="16.85546875" style="9" bestFit="1" customWidth="1"/>
    <col min="307" max="307" width="21.140625" style="9" bestFit="1" customWidth="1"/>
    <col min="308" max="308" width="19" style="9" bestFit="1" customWidth="1"/>
    <col min="309" max="309" width="15.28515625" style="9" bestFit="1" customWidth="1"/>
    <col min="310" max="16384" width="9.140625" style="9"/>
  </cols>
  <sheetData>
    <row r="2" spans="1:8" ht="20.25" thickBot="1">
      <c r="A2" s="20" t="s">
        <v>2059</v>
      </c>
      <c r="B2" s="20"/>
      <c r="C2" s="20"/>
      <c r="D2" s="20"/>
      <c r="E2" s="22"/>
      <c r="F2" s="20"/>
      <c r="G2" s="20"/>
      <c r="H2" s="19"/>
    </row>
    <row r="3" spans="1:8" ht="16.5" thickTop="1" thickBot="1">
      <c r="C3" s="5"/>
      <c r="D3" s="12"/>
      <c r="E3" s="23"/>
      <c r="F3" s="6"/>
      <c r="G3" s="7"/>
    </row>
    <row r="4" spans="1:8" ht="15.75">
      <c r="C4" s="14" t="s">
        <v>2</v>
      </c>
      <c r="D4" s="15" t="s">
        <v>28</v>
      </c>
      <c r="E4" s="24" t="s">
        <v>4</v>
      </c>
      <c r="F4" s="7"/>
      <c r="G4" s="9"/>
      <c r="H4" s="9"/>
    </row>
    <row r="5" spans="1:8" ht="15.75">
      <c r="C5" s="16" t="s">
        <v>17</v>
      </c>
      <c r="D5" s="78">
        <v>33332.5</v>
      </c>
      <c r="E5" s="79">
        <v>2</v>
      </c>
      <c r="F5" s="7"/>
      <c r="G5" s="9"/>
      <c r="H5" s="9"/>
    </row>
    <row r="6" spans="1:8" ht="15.75">
      <c r="C6" s="16" t="s">
        <v>6</v>
      </c>
      <c r="D6" s="80">
        <v>1776440.9212</v>
      </c>
      <c r="E6" s="79" t="s">
        <v>7</v>
      </c>
      <c r="F6" s="7"/>
      <c r="G6" s="9"/>
      <c r="H6" s="9"/>
    </row>
    <row r="7" spans="1:8" ht="15.75">
      <c r="C7" s="16" t="s">
        <v>29</v>
      </c>
      <c r="D7" s="78">
        <v>12231582.2028</v>
      </c>
      <c r="E7" s="79">
        <v>104</v>
      </c>
      <c r="F7" s="7"/>
      <c r="H7" s="9"/>
    </row>
    <row r="8" spans="1:8" ht="15.75">
      <c r="C8" s="16" t="s">
        <v>8</v>
      </c>
      <c r="D8" s="78">
        <v>3072323.19</v>
      </c>
      <c r="E8" s="79">
        <v>8</v>
      </c>
      <c r="F8" s="7"/>
      <c r="G8"/>
      <c r="H8" s="9"/>
    </row>
    <row r="9" spans="1:8" ht="15.75">
      <c r="C9" s="16" t="s">
        <v>19</v>
      </c>
      <c r="D9" s="78">
        <v>1463730.0725</v>
      </c>
      <c r="E9" s="79">
        <v>20</v>
      </c>
      <c r="F9" s="7"/>
      <c r="G9"/>
      <c r="H9" s="9"/>
    </row>
    <row r="10" spans="1:8" ht="15.75">
      <c r="C10" s="16" t="s">
        <v>1815</v>
      </c>
      <c r="D10" s="78">
        <v>694426.19891100004</v>
      </c>
      <c r="E10" s="79">
        <v>14</v>
      </c>
      <c r="F10" s="7"/>
      <c r="H10" s="9"/>
    </row>
    <row r="11" spans="1:8" ht="16.5" thickBot="1">
      <c r="C11" s="17" t="s">
        <v>11</v>
      </c>
      <c r="D11" s="18">
        <f>SUM(D5:D10)</f>
        <v>19271835.085411001</v>
      </c>
      <c r="E11" s="25">
        <f>SUM(E5:E10)</f>
        <v>148</v>
      </c>
      <c r="F11" s="7">
        <v>19256143</v>
      </c>
      <c r="G11" s="8">
        <f>D11-F11</f>
        <v>15692.085411000997</v>
      </c>
      <c r="H11" s="9"/>
    </row>
    <row r="12" spans="1:8">
      <c r="A12" s="11" t="s">
        <v>12</v>
      </c>
      <c r="C12" s="5"/>
      <c r="D12" s="12"/>
      <c r="E12" s="26"/>
      <c r="F12" s="7"/>
      <c r="H12" s="9"/>
    </row>
    <row r="13" spans="1:8">
      <c r="A13" s="28" t="s">
        <v>13</v>
      </c>
      <c r="B13"/>
      <c r="C13"/>
      <c r="D13"/>
      <c r="E13" s="27"/>
      <c r="F13"/>
      <c r="G13"/>
      <c r="H13"/>
    </row>
    <row r="14" spans="1:8">
      <c r="A14" s="29" t="s">
        <v>30</v>
      </c>
      <c r="B14"/>
      <c r="C14"/>
      <c r="D14"/>
      <c r="E14" s="27"/>
      <c r="F14"/>
      <c r="G14"/>
      <c r="H14"/>
    </row>
    <row r="15" spans="1:8">
      <c r="A15" s="30" t="s">
        <v>31</v>
      </c>
      <c r="C15" s="9"/>
      <c r="F15" s="7"/>
      <c r="H15" s="9"/>
    </row>
  </sheetData>
  <sortState xmlns:xlrd2="http://schemas.microsoft.com/office/spreadsheetml/2017/richdata2" ref="C29:F34">
    <sortCondition ref="C29:C34"/>
  </sortState>
  <pageMargins left="0.7" right="0.7" top="0.75" bottom="0.75" header="0.3" footer="0.3"/>
  <pageSetup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</sheetPr>
  <dimension ref="A1:H34"/>
  <sheetViews>
    <sheetView topLeftCell="B19" workbookViewId="0">
      <selection activeCell="H25" sqref="H25"/>
    </sheetView>
  </sheetViews>
  <sheetFormatPr defaultRowHeight="15"/>
  <cols>
    <col min="1" max="1" width="39.7109375" customWidth="1"/>
    <col min="2" max="2" width="16.5703125" customWidth="1"/>
    <col min="5" max="5" width="39.7109375" bestFit="1" customWidth="1"/>
    <col min="6" max="6" width="14" customWidth="1"/>
    <col min="7" max="7" width="12" customWidth="1"/>
  </cols>
  <sheetData>
    <row r="1" spans="1:7" ht="21">
      <c r="A1" s="412" t="s">
        <v>2060</v>
      </c>
      <c r="B1" s="412"/>
      <c r="C1" s="412"/>
      <c r="D1" s="412"/>
      <c r="E1" s="412"/>
      <c r="F1" s="412"/>
      <c r="G1" s="412"/>
    </row>
    <row r="3" spans="1:7">
      <c r="A3" s="198" t="s">
        <v>2027</v>
      </c>
      <c r="B3" t="s">
        <v>1446</v>
      </c>
    </row>
    <row r="5" spans="1:7">
      <c r="A5" s="198" t="s">
        <v>161</v>
      </c>
      <c r="B5" t="s">
        <v>2061</v>
      </c>
      <c r="E5" s="198" t="s">
        <v>2062</v>
      </c>
      <c r="F5" t="s">
        <v>90</v>
      </c>
      <c r="G5" t="s">
        <v>91</v>
      </c>
    </row>
    <row r="6" spans="1:7">
      <c r="A6" s="199" t="s">
        <v>341</v>
      </c>
      <c r="B6">
        <v>2</v>
      </c>
      <c r="E6" s="199" t="s">
        <v>341</v>
      </c>
      <c r="F6">
        <v>25000</v>
      </c>
      <c r="G6">
        <v>8332.5</v>
      </c>
    </row>
    <row r="7" spans="1:7">
      <c r="A7" s="199" t="s">
        <v>6</v>
      </c>
      <c r="B7">
        <v>3</v>
      </c>
      <c r="E7" s="199" t="s">
        <v>6</v>
      </c>
      <c r="F7">
        <v>1710000</v>
      </c>
      <c r="G7">
        <v>569943</v>
      </c>
    </row>
    <row r="8" spans="1:7">
      <c r="A8" s="199" t="s">
        <v>353</v>
      </c>
      <c r="B8">
        <v>70</v>
      </c>
      <c r="E8" s="199" t="s">
        <v>353</v>
      </c>
      <c r="F8">
        <v>6866079</v>
      </c>
      <c r="G8">
        <v>2288464.1307000001</v>
      </c>
    </row>
    <row r="9" spans="1:7">
      <c r="A9" s="199" t="s">
        <v>8</v>
      </c>
      <c r="B9">
        <v>5</v>
      </c>
      <c r="E9" s="199" t="s">
        <v>8</v>
      </c>
      <c r="F9">
        <v>1320860</v>
      </c>
      <c r="G9">
        <v>440242.63799999998</v>
      </c>
    </row>
    <row r="10" spans="1:7">
      <c r="A10" s="199" t="s">
        <v>19</v>
      </c>
      <c r="B10">
        <v>24</v>
      </c>
      <c r="E10" s="199" t="s">
        <v>19</v>
      </c>
      <c r="F10">
        <v>1183896</v>
      </c>
      <c r="G10">
        <v>394592.53680000006</v>
      </c>
    </row>
    <row r="11" spans="1:7">
      <c r="A11" s="199" t="s">
        <v>488</v>
      </c>
      <c r="B11">
        <v>14</v>
      </c>
      <c r="E11" s="199" t="s">
        <v>488</v>
      </c>
      <c r="F11">
        <v>659488.5</v>
      </c>
      <c r="G11">
        <v>219807.51704999999</v>
      </c>
    </row>
    <row r="12" spans="1:7">
      <c r="A12" s="199" t="s">
        <v>105</v>
      </c>
      <c r="B12">
        <v>118</v>
      </c>
      <c r="E12" s="199" t="s">
        <v>105</v>
      </c>
      <c r="F12">
        <v>11765323.5</v>
      </c>
      <c r="G12">
        <v>3921382.3225499997</v>
      </c>
    </row>
    <row r="13" spans="1:7">
      <c r="A13" s="199" t="s">
        <v>2063</v>
      </c>
      <c r="B13">
        <v>3</v>
      </c>
    </row>
    <row r="14" spans="1:7">
      <c r="A14" s="199" t="s">
        <v>2064</v>
      </c>
      <c r="B14">
        <v>1</v>
      </c>
    </row>
    <row r="15" spans="1:7">
      <c r="A15" s="199" t="s">
        <v>2065</v>
      </c>
      <c r="B15">
        <f>GETPIVOTDATA("PI Name",$A$5)-B13-B14</f>
        <v>114</v>
      </c>
    </row>
    <row r="19" spans="1:8" ht="21">
      <c r="A19" s="412" t="s">
        <v>2066</v>
      </c>
      <c r="B19" s="412"/>
      <c r="C19" s="412"/>
      <c r="D19" s="412"/>
      <c r="E19" s="412"/>
      <c r="F19" s="412"/>
      <c r="G19" s="412"/>
    </row>
    <row r="20" spans="1:8">
      <c r="A20" s="198" t="s">
        <v>1452</v>
      </c>
      <c r="B20" t="s">
        <v>1446</v>
      </c>
    </row>
    <row r="22" spans="1:8">
      <c r="A22" s="198" t="s">
        <v>161</v>
      </c>
      <c r="B22" t="s">
        <v>2061</v>
      </c>
      <c r="E22" s="198" t="s">
        <v>161</v>
      </c>
      <c r="F22" t="s">
        <v>90</v>
      </c>
      <c r="G22" t="s">
        <v>91</v>
      </c>
    </row>
    <row r="23" spans="1:8">
      <c r="A23" s="199" t="s">
        <v>341</v>
      </c>
      <c r="B23">
        <v>2</v>
      </c>
      <c r="E23" s="199" t="s">
        <v>341</v>
      </c>
      <c r="F23">
        <v>25000</v>
      </c>
      <c r="G23">
        <v>8332.5</v>
      </c>
    </row>
    <row r="24" spans="1:8">
      <c r="A24" s="199" t="s">
        <v>6</v>
      </c>
      <c r="B24">
        <v>2</v>
      </c>
      <c r="E24" s="199" t="s">
        <v>6</v>
      </c>
      <c r="F24">
        <v>800000</v>
      </c>
      <c r="G24">
        <v>266640</v>
      </c>
    </row>
    <row r="25" spans="1:8">
      <c r="A25" s="199" t="s">
        <v>347</v>
      </c>
      <c r="B25">
        <v>2</v>
      </c>
      <c r="E25" s="199" t="s">
        <v>347</v>
      </c>
      <c r="F25">
        <v>-630.65</v>
      </c>
      <c r="G25">
        <v>-210.19564499999998</v>
      </c>
      <c r="H25" t="s">
        <v>1447</v>
      </c>
    </row>
    <row r="26" spans="1:8">
      <c r="A26" s="199" t="s">
        <v>353</v>
      </c>
      <c r="B26">
        <v>69</v>
      </c>
      <c r="E26" s="199" t="s">
        <v>353</v>
      </c>
      <c r="F26">
        <v>6949924</v>
      </c>
      <c r="G26">
        <v>2316409.6691999994</v>
      </c>
    </row>
    <row r="27" spans="1:8">
      <c r="A27" s="199" t="s">
        <v>8</v>
      </c>
      <c r="B27">
        <v>6</v>
      </c>
      <c r="E27" s="199" t="s">
        <v>8</v>
      </c>
      <c r="F27">
        <v>1120912</v>
      </c>
      <c r="G27">
        <v>373599.96960000001</v>
      </c>
    </row>
    <row r="28" spans="1:8">
      <c r="A28" s="199" t="s">
        <v>19</v>
      </c>
      <c r="B28">
        <v>22</v>
      </c>
      <c r="E28" s="199" t="s">
        <v>19</v>
      </c>
      <c r="F28">
        <v>1085365</v>
      </c>
      <c r="G28">
        <v>361752.1545</v>
      </c>
    </row>
    <row r="29" spans="1:8">
      <c r="A29" s="199" t="s">
        <v>488</v>
      </c>
      <c r="B29">
        <v>13</v>
      </c>
      <c r="E29" s="199" t="s">
        <v>488</v>
      </c>
      <c r="F29">
        <v>733333</v>
      </c>
      <c r="G29">
        <v>244419.88889999999</v>
      </c>
    </row>
    <row r="30" spans="1:8">
      <c r="A30" s="199" t="s">
        <v>105</v>
      </c>
      <c r="B30">
        <v>116</v>
      </c>
      <c r="E30" s="199" t="s">
        <v>105</v>
      </c>
      <c r="F30">
        <v>10713903.35</v>
      </c>
      <c r="G30">
        <v>3570943.9865549998</v>
      </c>
    </row>
    <row r="31" spans="1:8">
      <c r="A31" s="199" t="s">
        <v>1449</v>
      </c>
      <c r="B31">
        <v>2</v>
      </c>
    </row>
    <row r="32" spans="1:8">
      <c r="A32" s="199" t="s">
        <v>6</v>
      </c>
      <c r="B32">
        <v>2</v>
      </c>
    </row>
    <row r="33" spans="1:2">
      <c r="A33" s="199" t="s">
        <v>347</v>
      </c>
      <c r="B33">
        <v>2</v>
      </c>
    </row>
    <row r="34" spans="1:2">
      <c r="A34" s="199" t="s">
        <v>1450</v>
      </c>
      <c r="B34">
        <f>GETPIVOTDATA("PI Name",$A$22)-B31-B32-B33</f>
        <v>110</v>
      </c>
    </row>
  </sheetData>
  <mergeCells count="2">
    <mergeCell ref="A1:G1"/>
    <mergeCell ref="A19:G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5FE83-8A8C-41A6-BBCA-E3BFD055FF88}">
  <dimension ref="A1:Q64"/>
  <sheetViews>
    <sheetView topLeftCell="A18" workbookViewId="0">
      <selection activeCell="P27" sqref="P27:Q27"/>
    </sheetView>
  </sheetViews>
  <sheetFormatPr defaultRowHeight="15"/>
  <cols>
    <col min="1" max="1" width="18" bestFit="1" customWidth="1"/>
    <col min="3" max="3" width="27.85546875" customWidth="1"/>
    <col min="4" max="4" width="24.42578125" customWidth="1"/>
    <col min="5" max="5" width="37.42578125" bestFit="1" customWidth="1"/>
    <col min="6" max="6" width="8.85546875" bestFit="1" customWidth="1"/>
    <col min="7" max="7" width="12.140625" bestFit="1" customWidth="1"/>
    <col min="8" max="8" width="13.42578125" bestFit="1" customWidth="1"/>
    <col min="9" max="9" width="15.5703125" bestFit="1" customWidth="1"/>
    <col min="10" max="10" width="14.85546875" bestFit="1" customWidth="1"/>
    <col min="15" max="15" width="27.7109375" bestFit="1" customWidth="1"/>
    <col min="16" max="16" width="14.28515625" customWidth="1"/>
    <col min="17" max="17" width="12.5703125" customWidth="1"/>
    <col min="18" max="19" width="12.5703125" bestFit="1" customWidth="1"/>
  </cols>
  <sheetData>
    <row r="1" spans="1:10">
      <c r="A1" s="398" t="s">
        <v>34</v>
      </c>
      <c r="B1" s="399" t="s">
        <v>35</v>
      </c>
      <c r="C1" s="399" t="s">
        <v>36</v>
      </c>
      <c r="D1" s="399" t="s">
        <v>37</v>
      </c>
      <c r="E1" s="399" t="s">
        <v>38</v>
      </c>
      <c r="F1" s="399" t="s">
        <v>39</v>
      </c>
      <c r="G1" s="400" t="s">
        <v>40</v>
      </c>
      <c r="H1" s="400" t="s">
        <v>41</v>
      </c>
      <c r="I1" s="401" t="s">
        <v>42</v>
      </c>
      <c r="J1" s="402" t="s">
        <v>43</v>
      </c>
    </row>
    <row r="2" spans="1:10" ht="15.75">
      <c r="A2" s="83">
        <v>499942</v>
      </c>
      <c r="B2" s="83">
        <v>107525</v>
      </c>
      <c r="C2" s="407" t="s">
        <v>6</v>
      </c>
      <c r="D2" s="404" t="s">
        <v>44</v>
      </c>
      <c r="E2" s="86" t="s">
        <v>45</v>
      </c>
      <c r="F2" s="86" t="s">
        <v>46</v>
      </c>
      <c r="G2" s="201">
        <v>42248</v>
      </c>
      <c r="H2" s="201">
        <v>45169</v>
      </c>
      <c r="I2" s="84">
        <v>957957</v>
      </c>
      <c r="J2" s="84">
        <f>I2*0.3333</f>
        <v>319287.06809999997</v>
      </c>
    </row>
    <row r="3" spans="1:10" ht="15.75">
      <c r="A3" s="238">
        <v>507782</v>
      </c>
      <c r="B3" s="238">
        <v>202616</v>
      </c>
      <c r="C3" s="405" t="s">
        <v>6</v>
      </c>
      <c r="D3" s="404" t="s">
        <v>47</v>
      </c>
      <c r="E3" s="238" t="s">
        <v>48</v>
      </c>
      <c r="F3" s="91" t="s">
        <v>46</v>
      </c>
      <c r="G3" s="394">
        <v>43709</v>
      </c>
      <c r="H3" s="394">
        <v>45169</v>
      </c>
      <c r="I3" s="243">
        <v>300000</v>
      </c>
      <c r="J3" s="84">
        <f>I3*0.3333</f>
        <v>99990</v>
      </c>
    </row>
    <row r="4" spans="1:10" ht="15.75">
      <c r="A4" s="238">
        <v>507782</v>
      </c>
      <c r="B4" s="238">
        <v>202616</v>
      </c>
      <c r="C4" s="405" t="s">
        <v>6</v>
      </c>
      <c r="D4" s="404" t="s">
        <v>47</v>
      </c>
      <c r="E4" s="238" t="s">
        <v>48</v>
      </c>
      <c r="F4" s="91" t="s">
        <v>46</v>
      </c>
      <c r="G4" s="394">
        <v>43709</v>
      </c>
      <c r="H4" s="394">
        <v>45169</v>
      </c>
      <c r="I4" s="243">
        <v>-300000</v>
      </c>
      <c r="J4" s="84">
        <f>I4*0.3333</f>
        <v>-99990</v>
      </c>
    </row>
    <row r="5" spans="1:10" ht="15.75">
      <c r="A5" s="83">
        <v>507782</v>
      </c>
      <c r="B5" s="83">
        <v>202616</v>
      </c>
      <c r="C5" s="405" t="s">
        <v>6</v>
      </c>
      <c r="D5" s="409" t="s">
        <v>47</v>
      </c>
      <c r="E5" s="86" t="s">
        <v>48</v>
      </c>
      <c r="F5" s="86" t="s">
        <v>46</v>
      </c>
      <c r="G5" s="272">
        <v>43709</v>
      </c>
      <c r="H5" s="201">
        <v>45169</v>
      </c>
      <c r="I5" s="84">
        <v>300000</v>
      </c>
      <c r="J5" s="84">
        <f>I5*0.3333</f>
        <v>99990</v>
      </c>
    </row>
    <row r="6" spans="1:10" ht="15.75">
      <c r="A6" s="238">
        <v>509181</v>
      </c>
      <c r="B6" s="238">
        <v>209792</v>
      </c>
      <c r="C6" s="408" t="s">
        <v>8</v>
      </c>
      <c r="D6" s="404" t="s">
        <v>49</v>
      </c>
      <c r="E6" s="91" t="s">
        <v>50</v>
      </c>
      <c r="F6" s="91" t="s">
        <v>46</v>
      </c>
      <c r="G6" s="272">
        <v>43952</v>
      </c>
      <c r="H6" s="272">
        <v>45168</v>
      </c>
      <c r="I6" s="243">
        <v>55714</v>
      </c>
      <c r="J6" s="243">
        <f>I6*0.3333</f>
        <v>18569.476200000001</v>
      </c>
    </row>
    <row r="7" spans="1:10" ht="15.75">
      <c r="A7" s="238">
        <v>511777</v>
      </c>
      <c r="B7" s="238">
        <v>213181</v>
      </c>
      <c r="C7" s="404" t="s">
        <v>8</v>
      </c>
      <c r="D7" s="404" t="s">
        <v>51</v>
      </c>
      <c r="E7" s="91" t="s">
        <v>52</v>
      </c>
      <c r="F7" s="91" t="s">
        <v>53</v>
      </c>
      <c r="G7" s="272">
        <v>44197</v>
      </c>
      <c r="H7" s="272">
        <v>44805</v>
      </c>
      <c r="I7" s="243">
        <v>25000</v>
      </c>
      <c r="J7" s="243">
        <f>I7*0.3333</f>
        <v>8332.5</v>
      </c>
    </row>
    <row r="8" spans="1:10" ht="15.75">
      <c r="A8" s="238">
        <v>511799</v>
      </c>
      <c r="B8" s="238">
        <v>211377</v>
      </c>
      <c r="C8" s="406" t="s">
        <v>54</v>
      </c>
      <c r="D8" s="404" t="s">
        <v>55</v>
      </c>
      <c r="E8" s="91" t="s">
        <v>56</v>
      </c>
      <c r="F8" s="91" t="s">
        <v>53</v>
      </c>
      <c r="G8" s="272">
        <v>44013</v>
      </c>
      <c r="H8" s="272">
        <v>45107</v>
      </c>
      <c r="I8" s="243">
        <v>150000</v>
      </c>
      <c r="J8" s="243">
        <f>I8*0.3333</f>
        <v>49995</v>
      </c>
    </row>
    <row r="9" spans="1:10" ht="15.75">
      <c r="A9" s="238">
        <v>511941</v>
      </c>
      <c r="B9" s="238">
        <v>213182</v>
      </c>
      <c r="C9" s="404" t="s">
        <v>8</v>
      </c>
      <c r="D9" s="404" t="s">
        <v>57</v>
      </c>
      <c r="E9" s="91" t="s">
        <v>58</v>
      </c>
      <c r="F9" s="91" t="s">
        <v>53</v>
      </c>
      <c r="G9" s="272">
        <v>44197</v>
      </c>
      <c r="H9" s="272">
        <v>44805</v>
      </c>
      <c r="I9" s="243">
        <v>25000</v>
      </c>
      <c r="J9" s="243">
        <f>I9*0.3333</f>
        <v>8332.5</v>
      </c>
    </row>
    <row r="10" spans="1:10" ht="15.75">
      <c r="A10" s="238">
        <v>512029</v>
      </c>
      <c r="B10" s="238">
        <v>209400</v>
      </c>
      <c r="C10" s="404" t="s">
        <v>59</v>
      </c>
      <c r="D10" s="404" t="s">
        <v>60</v>
      </c>
      <c r="E10" s="91" t="s">
        <v>61</v>
      </c>
      <c r="F10" s="91" t="s">
        <v>46</v>
      </c>
      <c r="G10" s="394">
        <v>44287</v>
      </c>
      <c r="H10" s="394">
        <v>45016</v>
      </c>
      <c r="I10" s="243">
        <v>181000</v>
      </c>
      <c r="J10" s="243">
        <f>I10*0.3333</f>
        <v>60327.299999999996</v>
      </c>
    </row>
    <row r="11" spans="1:10" ht="15.75">
      <c r="A11" s="238">
        <v>512029</v>
      </c>
      <c r="B11" s="238">
        <v>209403</v>
      </c>
      <c r="C11" s="404" t="s">
        <v>59</v>
      </c>
      <c r="D11" s="404" t="s">
        <v>62</v>
      </c>
      <c r="E11" s="91" t="s">
        <v>63</v>
      </c>
      <c r="F11" s="91" t="s">
        <v>53</v>
      </c>
      <c r="G11" s="394">
        <v>44287</v>
      </c>
      <c r="H11" s="394">
        <v>45016</v>
      </c>
      <c r="I11" s="243">
        <v>100000</v>
      </c>
      <c r="J11" s="243">
        <f>I11*0.3333</f>
        <v>33330</v>
      </c>
    </row>
    <row r="12" spans="1:10" ht="15.75">
      <c r="A12" s="238">
        <v>512029</v>
      </c>
      <c r="B12" s="238">
        <v>209766</v>
      </c>
      <c r="C12" s="404" t="s">
        <v>59</v>
      </c>
      <c r="D12" s="404" t="s">
        <v>64</v>
      </c>
      <c r="E12" s="91" t="s">
        <v>65</v>
      </c>
      <c r="F12" s="91" t="s">
        <v>53</v>
      </c>
      <c r="G12" s="394">
        <v>44287</v>
      </c>
      <c r="H12" s="394">
        <v>45016</v>
      </c>
      <c r="I12" s="243">
        <v>60000</v>
      </c>
      <c r="J12" s="243">
        <f>I12*0.3333</f>
        <v>19998</v>
      </c>
    </row>
    <row r="13" spans="1:10" ht="15.75">
      <c r="A13" s="238">
        <v>512029</v>
      </c>
      <c r="B13" s="238">
        <v>209210</v>
      </c>
      <c r="C13" s="404" t="s">
        <v>59</v>
      </c>
      <c r="D13" s="404" t="s">
        <v>66</v>
      </c>
      <c r="E13" s="91" t="s">
        <v>67</v>
      </c>
      <c r="F13" s="91" t="s">
        <v>68</v>
      </c>
      <c r="G13" s="394">
        <v>44287</v>
      </c>
      <c r="H13" s="394">
        <v>45016</v>
      </c>
      <c r="I13" s="243">
        <v>45000</v>
      </c>
      <c r="J13" s="243">
        <f>I13*0.3333</f>
        <v>14998.5</v>
      </c>
    </row>
    <row r="14" spans="1:10" ht="15.75">
      <c r="A14" s="238">
        <v>512029</v>
      </c>
      <c r="B14" s="238">
        <v>208616</v>
      </c>
      <c r="C14" s="404" t="s">
        <v>59</v>
      </c>
      <c r="D14" s="404" t="s">
        <v>69</v>
      </c>
      <c r="E14" s="91" t="s">
        <v>70</v>
      </c>
      <c r="F14" s="91" t="s">
        <v>53</v>
      </c>
      <c r="G14" s="394">
        <v>44287</v>
      </c>
      <c r="H14" s="394">
        <v>45016</v>
      </c>
      <c r="I14" s="243">
        <v>60000</v>
      </c>
      <c r="J14" s="243">
        <f>I14*0.3333</f>
        <v>19998</v>
      </c>
    </row>
    <row r="15" spans="1:10" ht="15.75">
      <c r="A15" s="238">
        <v>512029</v>
      </c>
      <c r="B15" s="238">
        <v>208728</v>
      </c>
      <c r="C15" s="404" t="s">
        <v>59</v>
      </c>
      <c r="D15" s="404" t="s">
        <v>71</v>
      </c>
      <c r="E15" s="91" t="s">
        <v>72</v>
      </c>
      <c r="F15" s="91" t="s">
        <v>53</v>
      </c>
      <c r="G15" s="394">
        <v>44287</v>
      </c>
      <c r="H15" s="394">
        <v>45016</v>
      </c>
      <c r="I15" s="243">
        <v>60000</v>
      </c>
      <c r="J15" s="243">
        <f>I15*0.3333</f>
        <v>19998</v>
      </c>
    </row>
    <row r="16" spans="1:10" ht="15.75">
      <c r="A16" s="238">
        <v>512148</v>
      </c>
      <c r="B16" s="238">
        <v>213202</v>
      </c>
      <c r="C16" s="404" t="s">
        <v>8</v>
      </c>
      <c r="D16" s="404" t="s">
        <v>73</v>
      </c>
      <c r="E16" s="91" t="s">
        <v>74</v>
      </c>
      <c r="F16" s="91" t="s">
        <v>75</v>
      </c>
      <c r="G16" s="272">
        <v>44197</v>
      </c>
      <c r="H16" s="272">
        <v>44805</v>
      </c>
      <c r="I16" s="243">
        <v>42593</v>
      </c>
      <c r="J16" s="243">
        <f>I16*0.3333</f>
        <v>14196.2469</v>
      </c>
    </row>
    <row r="17" spans="1:17" ht="15.75">
      <c r="A17" s="238">
        <v>512329</v>
      </c>
      <c r="B17" s="238">
        <v>206595</v>
      </c>
      <c r="C17" s="404" t="s">
        <v>59</v>
      </c>
      <c r="D17" s="404" t="s">
        <v>76</v>
      </c>
      <c r="E17" s="91" t="s">
        <v>77</v>
      </c>
      <c r="F17" s="91" t="s">
        <v>46</v>
      </c>
      <c r="G17" s="394">
        <v>44287</v>
      </c>
      <c r="H17" s="394">
        <v>45016</v>
      </c>
      <c r="I17" s="243">
        <v>74500</v>
      </c>
      <c r="J17" s="243">
        <f>I17*0.3333</f>
        <v>24830.85</v>
      </c>
    </row>
    <row r="18" spans="1:17" ht="15.75">
      <c r="A18" s="238">
        <v>512329</v>
      </c>
      <c r="B18" s="238">
        <v>201659</v>
      </c>
      <c r="C18" s="404" t="s">
        <v>59</v>
      </c>
      <c r="D18" s="404" t="s">
        <v>78</v>
      </c>
      <c r="E18" s="91" t="s">
        <v>79</v>
      </c>
      <c r="F18" s="91" t="s">
        <v>46</v>
      </c>
      <c r="G18" s="394">
        <v>44287</v>
      </c>
      <c r="H18" s="394">
        <v>45016</v>
      </c>
      <c r="I18" s="395">
        <v>55000</v>
      </c>
      <c r="J18" s="395">
        <f>I18*0.3333</f>
        <v>18331.5</v>
      </c>
    </row>
    <row r="19" spans="1:17" ht="15.75">
      <c r="A19" s="238">
        <v>512329</v>
      </c>
      <c r="B19" s="238">
        <v>213207</v>
      </c>
      <c r="C19" s="404" t="s">
        <v>59</v>
      </c>
      <c r="D19" s="404" t="s">
        <v>80</v>
      </c>
      <c r="E19" s="91" t="s">
        <v>81</v>
      </c>
      <c r="F19" s="91" t="s">
        <v>82</v>
      </c>
      <c r="G19" s="394">
        <v>44287</v>
      </c>
      <c r="H19" s="394">
        <v>45016</v>
      </c>
      <c r="I19" s="243">
        <v>118000</v>
      </c>
      <c r="J19" s="243">
        <f>I19*0.3333</f>
        <v>39329.4</v>
      </c>
    </row>
    <row r="20" spans="1:17" ht="15.75">
      <c r="A20" s="238">
        <v>512329</v>
      </c>
      <c r="B20" s="238">
        <v>209400</v>
      </c>
      <c r="C20" s="404" t="s">
        <v>59</v>
      </c>
      <c r="D20" s="404" t="s">
        <v>60</v>
      </c>
      <c r="E20" s="91" t="s">
        <v>83</v>
      </c>
      <c r="F20" s="91" t="s">
        <v>46</v>
      </c>
      <c r="G20" s="394">
        <v>44287</v>
      </c>
      <c r="H20" s="394">
        <v>45016</v>
      </c>
      <c r="I20" s="243">
        <v>42000</v>
      </c>
      <c r="J20" s="243">
        <f>I20*0.3333</f>
        <v>13998.599999999999</v>
      </c>
    </row>
    <row r="21" spans="1:17" ht="15.75">
      <c r="A21" s="238">
        <v>512329</v>
      </c>
      <c r="B21" s="238">
        <v>211963</v>
      </c>
      <c r="C21" s="404" t="s">
        <v>59</v>
      </c>
      <c r="D21" s="404" t="s">
        <v>84</v>
      </c>
      <c r="E21" s="91" t="s">
        <v>85</v>
      </c>
      <c r="F21" s="91" t="s">
        <v>46</v>
      </c>
      <c r="G21" s="394">
        <v>44287</v>
      </c>
      <c r="H21" s="394">
        <v>45016</v>
      </c>
      <c r="I21" s="395">
        <v>20000</v>
      </c>
      <c r="J21" s="395">
        <f>I21*0.3333</f>
        <v>6666</v>
      </c>
    </row>
    <row r="22" spans="1:17" ht="15.75">
      <c r="A22" s="238">
        <v>512338</v>
      </c>
      <c r="B22" s="238">
        <v>209438</v>
      </c>
      <c r="C22" t="s">
        <v>59</v>
      </c>
      <c r="D22" s="404" t="s">
        <v>86</v>
      </c>
      <c r="E22" s="91" t="s">
        <v>87</v>
      </c>
      <c r="F22" s="91" t="s">
        <v>46</v>
      </c>
      <c r="G22" s="394">
        <v>44287</v>
      </c>
      <c r="H22" s="394">
        <v>45016</v>
      </c>
      <c r="I22" s="243">
        <v>63000</v>
      </c>
      <c r="J22" s="84">
        <f>I22*0.3333</f>
        <v>20997.899999999998</v>
      </c>
    </row>
    <row r="23" spans="1:17" ht="15.75">
      <c r="A23" s="238">
        <v>512338</v>
      </c>
      <c r="B23" s="238">
        <v>212065</v>
      </c>
      <c r="C23" t="s">
        <v>59</v>
      </c>
      <c r="D23" s="406" t="s">
        <v>88</v>
      </c>
      <c r="E23" s="91" t="s">
        <v>89</v>
      </c>
      <c r="F23" s="91" t="s">
        <v>46</v>
      </c>
      <c r="G23" s="394">
        <v>44287</v>
      </c>
      <c r="H23" s="394">
        <v>45016</v>
      </c>
      <c r="I23" s="243">
        <v>96350</v>
      </c>
      <c r="J23" s="84">
        <f>I23*0.3333</f>
        <v>32113.454999999998</v>
      </c>
      <c r="O23" s="198" t="s">
        <v>36</v>
      </c>
      <c r="P23" t="s">
        <v>90</v>
      </c>
      <c r="Q23" t="s">
        <v>91</v>
      </c>
    </row>
    <row r="24" spans="1:17" ht="15.75">
      <c r="A24" s="238">
        <v>512338</v>
      </c>
      <c r="B24" s="238">
        <v>208379</v>
      </c>
      <c r="C24" t="s">
        <v>59</v>
      </c>
      <c r="D24" s="404" t="s">
        <v>92</v>
      </c>
      <c r="E24" s="91" t="s">
        <v>93</v>
      </c>
      <c r="F24" s="91" t="s">
        <v>46</v>
      </c>
      <c r="G24" s="394">
        <v>44287</v>
      </c>
      <c r="H24" s="394">
        <v>45016</v>
      </c>
      <c r="I24" s="243">
        <v>254500</v>
      </c>
      <c r="J24" s="84">
        <f>I24*0.3333</f>
        <v>84824.849999999991</v>
      </c>
      <c r="O24" t="s">
        <v>59</v>
      </c>
      <c r="P24">
        <v>1529350</v>
      </c>
      <c r="Q24">
        <v>509732.35499999998</v>
      </c>
    </row>
    <row r="25" spans="1:17" ht="15.75">
      <c r="A25" s="238">
        <v>512373</v>
      </c>
      <c r="B25" s="238">
        <v>212183</v>
      </c>
      <c r="C25" t="s">
        <v>59</v>
      </c>
      <c r="D25" s="404" t="s">
        <v>94</v>
      </c>
      <c r="E25" s="91" t="s">
        <v>95</v>
      </c>
      <c r="F25" s="91" t="s">
        <v>68</v>
      </c>
      <c r="G25" s="394">
        <v>44287</v>
      </c>
      <c r="H25" s="394">
        <v>45016</v>
      </c>
      <c r="I25" s="243">
        <v>160000</v>
      </c>
      <c r="J25" s="84">
        <f>I25*0.3333</f>
        <v>53328</v>
      </c>
      <c r="O25" t="s">
        <v>6</v>
      </c>
      <c r="P25">
        <v>1257957</v>
      </c>
      <c r="Q25">
        <v>419277.06809999997</v>
      </c>
    </row>
    <row r="26" spans="1:17" ht="15.75">
      <c r="A26" s="238">
        <v>512373</v>
      </c>
      <c r="B26" s="238">
        <v>205547</v>
      </c>
      <c r="C26" t="s">
        <v>59</v>
      </c>
      <c r="D26" s="404" t="s">
        <v>96</v>
      </c>
      <c r="E26" s="91" t="s">
        <v>97</v>
      </c>
      <c r="F26" s="91" t="s">
        <v>46</v>
      </c>
      <c r="G26" s="394">
        <v>44287</v>
      </c>
      <c r="H26" s="394">
        <v>45016</v>
      </c>
      <c r="I26" s="243">
        <v>55000</v>
      </c>
      <c r="J26" s="84">
        <f>I26*0.3333</f>
        <v>18331.5</v>
      </c>
      <c r="O26" t="s">
        <v>98</v>
      </c>
      <c r="P26">
        <v>1349418</v>
      </c>
      <c r="Q26">
        <v>449761.01939999999</v>
      </c>
    </row>
    <row r="27" spans="1:17" ht="15.75">
      <c r="A27" s="238">
        <v>512373</v>
      </c>
      <c r="B27" s="238">
        <v>207444</v>
      </c>
      <c r="C27" t="s">
        <v>59</v>
      </c>
      <c r="D27" s="404" t="s">
        <v>99</v>
      </c>
      <c r="E27" s="91" t="s">
        <v>100</v>
      </c>
      <c r="F27" s="91" t="s">
        <v>46</v>
      </c>
      <c r="G27" s="394">
        <v>44287</v>
      </c>
      <c r="H27" s="394">
        <v>45016</v>
      </c>
      <c r="I27" s="243">
        <v>30000</v>
      </c>
      <c r="J27" s="84">
        <f>I27*0.3333</f>
        <v>9999</v>
      </c>
      <c r="O27" t="s">
        <v>54</v>
      </c>
      <c r="P27">
        <v>516234.68</v>
      </c>
      <c r="Q27">
        <v>172061.01884400001</v>
      </c>
    </row>
    <row r="28" spans="1:17" ht="15.75">
      <c r="A28" s="238">
        <v>512373</v>
      </c>
      <c r="B28" s="238">
        <v>207963</v>
      </c>
      <c r="C28" t="s">
        <v>59</v>
      </c>
      <c r="D28" s="404" t="s">
        <v>101</v>
      </c>
      <c r="E28" s="91" t="s">
        <v>102</v>
      </c>
      <c r="F28" s="91" t="s">
        <v>46</v>
      </c>
      <c r="G28" s="394">
        <v>44287</v>
      </c>
      <c r="H28" s="394">
        <v>45016</v>
      </c>
      <c r="I28" s="243">
        <v>55000</v>
      </c>
      <c r="J28" s="243">
        <f>I28*0.3333</f>
        <v>18331.5</v>
      </c>
      <c r="O28" t="s">
        <v>8</v>
      </c>
      <c r="P28">
        <v>148307</v>
      </c>
      <c r="Q28">
        <v>49430.723100000003</v>
      </c>
    </row>
    <row r="29" spans="1:17" ht="15.75">
      <c r="A29" s="83">
        <v>512445</v>
      </c>
      <c r="B29" s="83">
        <v>213041</v>
      </c>
      <c r="C29" s="404" t="s">
        <v>54</v>
      </c>
      <c r="D29" s="404" t="s">
        <v>103</v>
      </c>
      <c r="E29" s="86" t="s">
        <v>104</v>
      </c>
      <c r="F29" s="86" t="s">
        <v>53</v>
      </c>
      <c r="G29" s="201">
        <v>44317</v>
      </c>
      <c r="H29" s="201">
        <v>45046</v>
      </c>
      <c r="I29" s="84">
        <v>108810</v>
      </c>
      <c r="J29" s="84">
        <f>I29*0.3333</f>
        <v>36266.373</v>
      </c>
      <c r="O29" t="s">
        <v>105</v>
      </c>
      <c r="P29">
        <v>4801266.68</v>
      </c>
      <c r="Q29">
        <v>1600262.184444</v>
      </c>
    </row>
    <row r="30" spans="1:17" ht="15.75">
      <c r="A30" s="238">
        <v>512724</v>
      </c>
      <c r="B30" s="238">
        <v>203820</v>
      </c>
      <c r="C30" s="404" t="s">
        <v>98</v>
      </c>
      <c r="D30" s="404" t="s">
        <v>106</v>
      </c>
      <c r="E30" s="91" t="s">
        <v>107</v>
      </c>
      <c r="F30" s="91" t="s">
        <v>46</v>
      </c>
      <c r="G30" s="272">
        <v>44409</v>
      </c>
      <c r="H30" s="272">
        <v>44957</v>
      </c>
      <c r="I30" s="243">
        <v>47000</v>
      </c>
      <c r="J30" s="243">
        <f>I30*0.3333</f>
        <v>15665.099999999999</v>
      </c>
    </row>
    <row r="31" spans="1:17" ht="15.75">
      <c r="A31" s="238">
        <v>512724</v>
      </c>
      <c r="B31" s="238">
        <v>208934</v>
      </c>
      <c r="C31" s="404" t="s">
        <v>98</v>
      </c>
      <c r="D31" s="404" t="s">
        <v>108</v>
      </c>
      <c r="E31" s="91" t="s">
        <v>109</v>
      </c>
      <c r="F31" s="91" t="s">
        <v>53</v>
      </c>
      <c r="G31" s="272">
        <v>44409</v>
      </c>
      <c r="H31" s="272">
        <v>44957</v>
      </c>
      <c r="I31" s="243">
        <v>42920</v>
      </c>
      <c r="J31" s="243">
        <f>I31*0.3333</f>
        <v>14305.235999999999</v>
      </c>
    </row>
    <row r="32" spans="1:17" ht="15.75">
      <c r="A32" s="238">
        <v>512731</v>
      </c>
      <c r="B32" s="238">
        <v>212636</v>
      </c>
      <c r="C32" s="404" t="s">
        <v>98</v>
      </c>
      <c r="D32" s="404" t="s">
        <v>110</v>
      </c>
      <c r="E32" s="91" t="s">
        <v>111</v>
      </c>
      <c r="F32" s="91" t="s">
        <v>53</v>
      </c>
      <c r="G32" s="272">
        <v>44409</v>
      </c>
      <c r="H32" s="272">
        <v>44957</v>
      </c>
      <c r="I32" s="243">
        <v>2500</v>
      </c>
      <c r="J32" s="243">
        <f>I32*0.3333</f>
        <v>833.25</v>
      </c>
    </row>
    <row r="33" spans="1:10" ht="15.75">
      <c r="A33" s="238">
        <v>512731</v>
      </c>
      <c r="B33" s="238">
        <v>209184</v>
      </c>
      <c r="C33" s="404" t="s">
        <v>98</v>
      </c>
      <c r="D33" s="404" t="s">
        <v>112</v>
      </c>
      <c r="E33" s="91" t="s">
        <v>113</v>
      </c>
      <c r="F33" s="91" t="s">
        <v>53</v>
      </c>
      <c r="G33" s="272">
        <v>44409</v>
      </c>
      <c r="H33" s="272">
        <v>44957</v>
      </c>
      <c r="I33" s="243">
        <v>20000</v>
      </c>
      <c r="J33" s="243">
        <f>I33*0.3333</f>
        <v>6666</v>
      </c>
    </row>
    <row r="34" spans="1:10" ht="15.75">
      <c r="A34" s="238">
        <v>512731</v>
      </c>
      <c r="B34" s="238">
        <v>209766</v>
      </c>
      <c r="C34" s="404" t="s">
        <v>98</v>
      </c>
      <c r="D34" s="404" t="s">
        <v>64</v>
      </c>
      <c r="E34" s="91" t="s">
        <v>114</v>
      </c>
      <c r="F34" s="91" t="s">
        <v>53</v>
      </c>
      <c r="G34" s="272">
        <v>44409</v>
      </c>
      <c r="H34" s="272">
        <v>44957</v>
      </c>
      <c r="I34" s="243">
        <v>65000</v>
      </c>
      <c r="J34" s="243">
        <f>I34*0.3333</f>
        <v>21664.5</v>
      </c>
    </row>
    <row r="35" spans="1:10" ht="15.75">
      <c r="A35" s="238">
        <v>513373</v>
      </c>
      <c r="B35" s="238">
        <v>201921</v>
      </c>
      <c r="C35" s="404" t="s">
        <v>98</v>
      </c>
      <c r="D35" s="404" t="s">
        <v>115</v>
      </c>
      <c r="E35" s="91" t="s">
        <v>116</v>
      </c>
      <c r="F35" s="91" t="s">
        <v>46</v>
      </c>
      <c r="G35" s="272">
        <v>44562</v>
      </c>
      <c r="H35" s="91" t="s">
        <v>117</v>
      </c>
      <c r="I35" s="160">
        <v>62000</v>
      </c>
      <c r="J35" s="84">
        <f>I35*0.3333</f>
        <v>20664.599999999999</v>
      </c>
    </row>
    <row r="36" spans="1:10" ht="15.75">
      <c r="A36" s="238">
        <v>513374</v>
      </c>
      <c r="B36" s="238">
        <v>212065</v>
      </c>
      <c r="C36" t="s">
        <v>98</v>
      </c>
      <c r="D36" s="404" t="s">
        <v>88</v>
      </c>
      <c r="E36" s="91" t="s">
        <v>118</v>
      </c>
      <c r="F36" s="91" t="s">
        <v>46</v>
      </c>
      <c r="G36" s="272">
        <v>44562</v>
      </c>
      <c r="H36" s="91" t="s">
        <v>117</v>
      </c>
      <c r="I36" s="160">
        <v>44500</v>
      </c>
      <c r="J36" s="84">
        <f>I36*0.3333</f>
        <v>14831.849999999999</v>
      </c>
    </row>
    <row r="37" spans="1:10" ht="15.75">
      <c r="A37" s="238">
        <v>513935</v>
      </c>
      <c r="B37" s="238">
        <v>209438</v>
      </c>
      <c r="C37" t="s">
        <v>54</v>
      </c>
      <c r="D37" s="404" t="s">
        <v>86</v>
      </c>
      <c r="E37" s="91" t="s">
        <v>119</v>
      </c>
      <c r="F37" s="91" t="s">
        <v>46</v>
      </c>
      <c r="G37" s="272">
        <v>44682</v>
      </c>
      <c r="H37" s="272">
        <v>44804</v>
      </c>
      <c r="I37" s="243">
        <v>10000</v>
      </c>
      <c r="J37" s="243">
        <f>I37*0.3333</f>
        <v>3333</v>
      </c>
    </row>
    <row r="38" spans="1:10" ht="15.75">
      <c r="A38" s="238">
        <v>514064</v>
      </c>
      <c r="B38" s="238">
        <v>201921</v>
      </c>
      <c r="C38" t="s">
        <v>54</v>
      </c>
      <c r="D38" s="404" t="s">
        <v>120</v>
      </c>
      <c r="E38" s="91" t="s">
        <v>121</v>
      </c>
      <c r="F38" s="91" t="s">
        <v>46</v>
      </c>
      <c r="G38" s="272">
        <v>44682</v>
      </c>
      <c r="H38" s="272">
        <v>44804</v>
      </c>
      <c r="I38" s="243">
        <v>10000</v>
      </c>
      <c r="J38" s="243">
        <f>I38*0.3333</f>
        <v>3333</v>
      </c>
    </row>
    <row r="39" spans="1:10" ht="15.75">
      <c r="A39" s="238">
        <v>514143</v>
      </c>
      <c r="B39" s="238">
        <v>209792</v>
      </c>
      <c r="C39" t="s">
        <v>54</v>
      </c>
      <c r="D39" s="404" t="s">
        <v>122</v>
      </c>
      <c r="E39" s="91" t="s">
        <v>123</v>
      </c>
      <c r="F39" s="91" t="s">
        <v>46</v>
      </c>
      <c r="G39" s="272">
        <v>44682</v>
      </c>
      <c r="H39" s="272">
        <v>44804</v>
      </c>
      <c r="I39" s="243">
        <v>10000</v>
      </c>
      <c r="J39" s="243">
        <f>I39*0.3333</f>
        <v>3333</v>
      </c>
    </row>
    <row r="40" spans="1:10" ht="15.75">
      <c r="A40" s="238">
        <v>514151</v>
      </c>
      <c r="B40" s="238">
        <v>202616</v>
      </c>
      <c r="C40" t="s">
        <v>54</v>
      </c>
      <c r="D40" s="404" t="s">
        <v>124</v>
      </c>
      <c r="E40" s="91" t="s">
        <v>125</v>
      </c>
      <c r="F40" s="91" t="s">
        <v>46</v>
      </c>
      <c r="G40" s="272">
        <v>44682</v>
      </c>
      <c r="H40" s="272">
        <v>44804</v>
      </c>
      <c r="I40" s="243">
        <v>10000</v>
      </c>
      <c r="J40" s="243">
        <f>I40*0.3333</f>
        <v>3333</v>
      </c>
    </row>
    <row r="41" spans="1:10" ht="15.75">
      <c r="A41" s="83">
        <v>514155</v>
      </c>
      <c r="B41" s="83">
        <v>208489</v>
      </c>
      <c r="C41" t="s">
        <v>54</v>
      </c>
      <c r="D41" s="404" t="s">
        <v>126</v>
      </c>
      <c r="E41" s="91" t="s">
        <v>127</v>
      </c>
      <c r="F41" s="86" t="s">
        <v>68</v>
      </c>
      <c r="G41" s="272">
        <v>44682</v>
      </c>
      <c r="H41" s="272">
        <v>44804</v>
      </c>
      <c r="I41" s="243">
        <v>10000</v>
      </c>
      <c r="J41" s="243">
        <f>I41*0.3333</f>
        <v>3333</v>
      </c>
    </row>
    <row r="42" spans="1:10" ht="15.75">
      <c r="A42" s="83">
        <v>514291</v>
      </c>
      <c r="B42" s="83">
        <v>209660</v>
      </c>
      <c r="C42" t="s">
        <v>54</v>
      </c>
      <c r="D42" s="404" t="s">
        <v>128</v>
      </c>
      <c r="E42" s="86" t="s">
        <v>129</v>
      </c>
      <c r="F42" s="86" t="s">
        <v>68</v>
      </c>
      <c r="G42" s="272">
        <v>44682</v>
      </c>
      <c r="H42" s="272">
        <v>44804</v>
      </c>
      <c r="I42" s="243">
        <v>10000</v>
      </c>
      <c r="J42" s="243">
        <f>I42*0.3333</f>
        <v>3333</v>
      </c>
    </row>
    <row r="43" spans="1:10" ht="15.75">
      <c r="A43" s="83">
        <v>514291</v>
      </c>
      <c r="B43" s="83">
        <v>209660</v>
      </c>
      <c r="C43" t="s">
        <v>54</v>
      </c>
      <c r="D43" s="404" t="s">
        <v>128</v>
      </c>
      <c r="E43" s="86" t="s">
        <v>129</v>
      </c>
      <c r="F43" s="86" t="s">
        <v>68</v>
      </c>
      <c r="G43" s="272">
        <v>44682</v>
      </c>
      <c r="H43" s="272">
        <v>44804</v>
      </c>
      <c r="I43" s="243">
        <v>-10000</v>
      </c>
      <c r="J43" s="243">
        <f>I43*0.3333</f>
        <v>-3333</v>
      </c>
    </row>
    <row r="44" spans="1:10" ht="15.75">
      <c r="A44" s="83">
        <v>514357</v>
      </c>
      <c r="B44" s="83">
        <v>209346</v>
      </c>
      <c r="C44" t="s">
        <v>54</v>
      </c>
      <c r="D44" s="404" t="s">
        <v>130</v>
      </c>
      <c r="E44" s="86" t="s">
        <v>131</v>
      </c>
      <c r="F44" s="86" t="s">
        <v>46</v>
      </c>
      <c r="G44" s="272">
        <v>44682</v>
      </c>
      <c r="H44" s="272">
        <v>44804</v>
      </c>
      <c r="I44" s="243">
        <v>10000</v>
      </c>
      <c r="J44" s="243">
        <f>I44*0.3333</f>
        <v>3333</v>
      </c>
    </row>
    <row r="45" spans="1:10" ht="15.75">
      <c r="A45" s="238">
        <v>514461</v>
      </c>
      <c r="B45" s="238">
        <v>208728</v>
      </c>
      <c r="C45" t="s">
        <v>54</v>
      </c>
      <c r="D45" s="404" t="s">
        <v>71</v>
      </c>
      <c r="E45" s="91" t="s">
        <v>132</v>
      </c>
      <c r="F45" s="91" t="s">
        <v>53</v>
      </c>
      <c r="G45" s="272">
        <v>44682</v>
      </c>
      <c r="H45" s="272">
        <v>44804</v>
      </c>
      <c r="I45" s="243">
        <v>10000</v>
      </c>
      <c r="J45" s="243">
        <f>I45*0.3333</f>
        <v>3333</v>
      </c>
    </row>
    <row r="46" spans="1:10" ht="15.75">
      <c r="A46" s="238">
        <v>514509</v>
      </c>
      <c r="B46" s="238">
        <v>200037</v>
      </c>
      <c r="C46" t="s">
        <v>98</v>
      </c>
      <c r="D46" s="404" t="s">
        <v>133</v>
      </c>
      <c r="E46" s="86" t="s">
        <v>134</v>
      </c>
      <c r="F46" s="86" t="s">
        <v>75</v>
      </c>
      <c r="G46" s="201">
        <v>44743</v>
      </c>
      <c r="H46" s="201">
        <v>45107</v>
      </c>
      <c r="I46" s="84">
        <v>100000</v>
      </c>
      <c r="J46" s="84">
        <f>I46*0.3333</f>
        <v>33330</v>
      </c>
    </row>
    <row r="47" spans="1:10" ht="15.75">
      <c r="A47" s="238">
        <v>514509</v>
      </c>
      <c r="B47" s="83">
        <v>209346</v>
      </c>
      <c r="C47" t="s">
        <v>98</v>
      </c>
      <c r="D47" s="404" t="s">
        <v>130</v>
      </c>
      <c r="E47" s="86" t="s">
        <v>135</v>
      </c>
      <c r="F47" s="86" t="s">
        <v>53</v>
      </c>
      <c r="G47" s="201">
        <v>44743</v>
      </c>
      <c r="H47" s="201">
        <v>45107</v>
      </c>
      <c r="I47" s="84">
        <v>150000</v>
      </c>
      <c r="J47" s="84">
        <f>I47*0.3333</f>
        <v>49995</v>
      </c>
    </row>
    <row r="48" spans="1:10" ht="15.75">
      <c r="A48" s="83">
        <v>514601</v>
      </c>
      <c r="B48" s="83">
        <v>213061</v>
      </c>
      <c r="C48" t="s">
        <v>54</v>
      </c>
      <c r="D48" s="404" t="s">
        <v>136</v>
      </c>
      <c r="E48" s="86" t="s">
        <v>137</v>
      </c>
      <c r="F48" s="86" t="s">
        <v>82</v>
      </c>
      <c r="G48" s="201">
        <v>44682</v>
      </c>
      <c r="H48" s="201">
        <v>44804</v>
      </c>
      <c r="I48" s="84">
        <v>10000</v>
      </c>
      <c r="J48" s="84">
        <f>I48*0.3333</f>
        <v>3333</v>
      </c>
    </row>
    <row r="49" spans="1:10" ht="15.75">
      <c r="A49" s="83">
        <v>514602</v>
      </c>
      <c r="B49" s="83">
        <v>209792</v>
      </c>
      <c r="C49" t="s">
        <v>98</v>
      </c>
      <c r="D49" s="404" t="s">
        <v>122</v>
      </c>
      <c r="E49" s="86" t="s">
        <v>138</v>
      </c>
      <c r="F49" s="86" t="s">
        <v>46</v>
      </c>
      <c r="G49" s="201">
        <v>44743</v>
      </c>
      <c r="H49" s="201">
        <v>45107</v>
      </c>
      <c r="I49" s="84">
        <v>336669</v>
      </c>
      <c r="J49" s="84">
        <f>I49*0.3333</f>
        <v>112211.77769999999</v>
      </c>
    </row>
    <row r="50" spans="1:10" ht="15.75">
      <c r="A50" s="396">
        <v>514744</v>
      </c>
      <c r="B50" s="83">
        <v>208628</v>
      </c>
      <c r="C50" t="s">
        <v>98</v>
      </c>
      <c r="D50" s="404" t="s">
        <v>139</v>
      </c>
      <c r="E50" s="86" t="s">
        <v>140</v>
      </c>
      <c r="F50" s="86" t="s">
        <v>53</v>
      </c>
      <c r="G50" s="201">
        <v>44743</v>
      </c>
      <c r="H50" s="201">
        <v>45107</v>
      </c>
      <c r="I50" s="84">
        <v>25119</v>
      </c>
      <c r="J50" s="84">
        <f>I50*0.3333</f>
        <v>8372.1626999999989</v>
      </c>
    </row>
    <row r="51" spans="1:10" ht="15.75">
      <c r="A51" s="83">
        <v>514744</v>
      </c>
      <c r="B51" s="83">
        <v>213194</v>
      </c>
      <c r="C51" t="s">
        <v>98</v>
      </c>
      <c r="D51" s="404" t="s">
        <v>141</v>
      </c>
      <c r="E51" s="86" t="s">
        <v>142</v>
      </c>
      <c r="F51" s="86" t="s">
        <v>46</v>
      </c>
      <c r="G51" s="201">
        <v>44743</v>
      </c>
      <c r="H51" s="201">
        <v>45107</v>
      </c>
      <c r="I51" s="84">
        <v>222210</v>
      </c>
      <c r="J51" s="84">
        <f>I51*0.3333</f>
        <v>74062.592999999993</v>
      </c>
    </row>
    <row r="52" spans="1:10" ht="15.75">
      <c r="A52" s="238">
        <v>514746</v>
      </c>
      <c r="B52" s="238">
        <v>208379</v>
      </c>
      <c r="C52" t="s">
        <v>98</v>
      </c>
      <c r="D52" s="404" t="s">
        <v>92</v>
      </c>
      <c r="E52" s="91" t="s">
        <v>143</v>
      </c>
      <c r="F52" s="91" t="s">
        <v>46</v>
      </c>
      <c r="G52" s="201">
        <v>44743</v>
      </c>
      <c r="H52" s="201">
        <v>45107</v>
      </c>
      <c r="I52" s="243">
        <v>231500</v>
      </c>
      <c r="J52" s="243">
        <f>I52*0.3333</f>
        <v>77158.95</v>
      </c>
    </row>
    <row r="53" spans="1:10" ht="15.75">
      <c r="A53" s="238">
        <v>515106</v>
      </c>
      <c r="B53" s="238">
        <v>213120</v>
      </c>
      <c r="C53" t="s">
        <v>54</v>
      </c>
      <c r="D53" s="404" t="s">
        <v>144</v>
      </c>
      <c r="E53" s="91" t="s">
        <v>145</v>
      </c>
      <c r="F53" s="91" t="s">
        <v>53</v>
      </c>
      <c r="G53" s="272">
        <v>44743</v>
      </c>
      <c r="H53" s="286" t="s">
        <v>146</v>
      </c>
      <c r="I53" s="84">
        <v>25000</v>
      </c>
      <c r="J53" s="397">
        <f>I53*0.3333</f>
        <v>8332.5</v>
      </c>
    </row>
    <row r="54" spans="1:10" ht="15.75">
      <c r="A54" s="238">
        <v>515499</v>
      </c>
      <c r="B54" s="238">
        <v>213143</v>
      </c>
      <c r="C54" t="s">
        <v>54</v>
      </c>
      <c r="D54" s="404" t="s">
        <v>147</v>
      </c>
      <c r="E54" s="91" t="s">
        <v>148</v>
      </c>
      <c r="F54" s="91" t="s">
        <v>53</v>
      </c>
      <c r="G54" s="272">
        <v>44573</v>
      </c>
      <c r="H54" s="286" t="s">
        <v>149</v>
      </c>
      <c r="I54" s="243">
        <v>25000</v>
      </c>
      <c r="J54" s="84">
        <f>I54*0.3333</f>
        <v>8332.5</v>
      </c>
    </row>
    <row r="55" spans="1:10" ht="15.75">
      <c r="A55" s="238">
        <v>515500</v>
      </c>
      <c r="B55" s="238">
        <v>208700</v>
      </c>
      <c r="C55" t="s">
        <v>54</v>
      </c>
      <c r="D55" s="404" t="s">
        <v>150</v>
      </c>
      <c r="E55" s="91" t="s">
        <v>151</v>
      </c>
      <c r="F55" s="91" t="s">
        <v>53</v>
      </c>
      <c r="G55" s="272">
        <v>44573</v>
      </c>
      <c r="H55" s="286" t="s">
        <v>149</v>
      </c>
      <c r="I55" s="243">
        <v>25000</v>
      </c>
      <c r="J55" s="84">
        <f>I55*0.3333</f>
        <v>8332.5</v>
      </c>
    </row>
    <row r="56" spans="1:10" ht="15.75">
      <c r="A56" s="238">
        <v>515501</v>
      </c>
      <c r="B56" s="238">
        <v>203820</v>
      </c>
      <c r="C56" t="s">
        <v>54</v>
      </c>
      <c r="D56" s="404" t="s">
        <v>106</v>
      </c>
      <c r="E56" s="91" t="s">
        <v>152</v>
      </c>
      <c r="F56" s="91" t="s">
        <v>46</v>
      </c>
      <c r="G56" s="272">
        <v>44573</v>
      </c>
      <c r="H56" s="286" t="s">
        <v>149</v>
      </c>
      <c r="I56" s="160">
        <v>25000</v>
      </c>
      <c r="J56" s="84">
        <f>I56*0.3333</f>
        <v>8332.5</v>
      </c>
    </row>
    <row r="57" spans="1:10" ht="15.75">
      <c r="A57" s="238">
        <v>515631</v>
      </c>
      <c r="B57" s="238">
        <v>207428</v>
      </c>
      <c r="C57" t="s">
        <v>54</v>
      </c>
      <c r="D57" s="404" t="s">
        <v>153</v>
      </c>
      <c r="E57" s="91" t="s">
        <v>154</v>
      </c>
      <c r="F57" s="91" t="s">
        <v>46</v>
      </c>
      <c r="G57" s="272">
        <v>44573</v>
      </c>
      <c r="H57" s="286" t="s">
        <v>149</v>
      </c>
      <c r="I57" s="160">
        <v>25000</v>
      </c>
      <c r="J57" s="84">
        <f>I57*0.3333</f>
        <v>8332.5</v>
      </c>
    </row>
    <row r="58" spans="1:10" ht="15.75">
      <c r="A58" s="238">
        <v>515631</v>
      </c>
      <c r="B58" s="238">
        <v>207428</v>
      </c>
      <c r="C58" t="s">
        <v>54</v>
      </c>
      <c r="D58" s="404" t="s">
        <v>153</v>
      </c>
      <c r="E58" s="91" t="s">
        <v>154</v>
      </c>
      <c r="F58" s="91" t="s">
        <v>46</v>
      </c>
      <c r="G58" s="272">
        <v>44573</v>
      </c>
      <c r="H58" s="286" t="s">
        <v>149</v>
      </c>
      <c r="I58" s="160">
        <v>-10075.32</v>
      </c>
      <c r="J58" s="84">
        <f>I58*0.3333</f>
        <v>-3358.1041559999999</v>
      </c>
    </row>
    <row r="59" spans="1:10" ht="15.75">
      <c r="A59" s="238">
        <v>515670</v>
      </c>
      <c r="B59" s="238">
        <v>208134</v>
      </c>
      <c r="C59" t="s">
        <v>54</v>
      </c>
      <c r="D59" s="404" t="s">
        <v>155</v>
      </c>
      <c r="E59" s="91" t="s">
        <v>156</v>
      </c>
      <c r="F59" s="91" t="s">
        <v>46</v>
      </c>
      <c r="G59" s="272">
        <v>44573</v>
      </c>
      <c r="H59" s="286" t="s">
        <v>149</v>
      </c>
      <c r="I59" s="160">
        <v>12500</v>
      </c>
      <c r="J59" s="84">
        <f>I59*0.3333</f>
        <v>4166.25</v>
      </c>
    </row>
    <row r="60" spans="1:10" ht="15.75">
      <c r="A60" s="238">
        <v>515673</v>
      </c>
      <c r="B60" s="238">
        <v>209946</v>
      </c>
      <c r="C60" t="s">
        <v>54</v>
      </c>
      <c r="D60" s="404" t="s">
        <v>157</v>
      </c>
      <c r="E60" s="91" t="s">
        <v>158</v>
      </c>
      <c r="F60" s="91" t="s">
        <v>68</v>
      </c>
      <c r="G60" s="272">
        <v>44573</v>
      </c>
      <c r="H60" s="286" t="s">
        <v>149</v>
      </c>
      <c r="I60" s="160">
        <v>25000</v>
      </c>
      <c r="J60" s="84">
        <f>I60*0.3333</f>
        <v>8332.5</v>
      </c>
    </row>
    <row r="61" spans="1:10" ht="15.75">
      <c r="A61" s="238">
        <v>515776</v>
      </c>
      <c r="B61" s="238">
        <v>208341</v>
      </c>
      <c r="C61" t="s">
        <v>54</v>
      </c>
      <c r="D61" s="404" t="s">
        <v>159</v>
      </c>
      <c r="E61" s="91" t="s">
        <v>160</v>
      </c>
      <c r="F61" s="91" t="s">
        <v>68</v>
      </c>
      <c r="G61" s="272">
        <v>44573</v>
      </c>
      <c r="H61" s="91" t="s">
        <v>149</v>
      </c>
      <c r="I61" s="160">
        <v>25000</v>
      </c>
      <c r="J61" s="84">
        <f>I61*0.3333</f>
        <v>8332.5</v>
      </c>
    </row>
    <row r="62" spans="1:10">
      <c r="D62" s="404"/>
    </row>
    <row r="63" spans="1:10">
      <c r="D63" s="404"/>
      <c r="I63" s="403"/>
      <c r="J63" s="403"/>
    </row>
    <row r="64" spans="1:10">
      <c r="D64" s="404"/>
    </row>
  </sheetData>
  <autoFilter ref="A1:J61" xr:uid="{92D5FE83-8A8C-41A6-BBCA-E3BFD055FF88}">
    <sortState xmlns:xlrd2="http://schemas.microsoft.com/office/spreadsheetml/2017/richdata2" ref="A2:J61">
      <sortCondition ref="A1:A61"/>
    </sortState>
  </autoFilter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K339"/>
  <sheetViews>
    <sheetView topLeftCell="A230" workbookViewId="0"/>
  </sheetViews>
  <sheetFormatPr defaultColWidth="19" defaultRowHeight="15"/>
  <sheetData>
    <row r="1" spans="1:63" ht="31.5">
      <c r="A1" s="98" t="s">
        <v>522</v>
      </c>
      <c r="B1" s="102" t="s">
        <v>525</v>
      </c>
      <c r="C1" s="99" t="s">
        <v>526</v>
      </c>
      <c r="D1" s="99" t="s">
        <v>527</v>
      </c>
      <c r="E1" s="100" t="s">
        <v>523</v>
      </c>
      <c r="F1" s="101" t="s">
        <v>524</v>
      </c>
      <c r="G1" s="103" t="s">
        <v>528</v>
      </c>
      <c r="H1" s="104" t="s">
        <v>529</v>
      </c>
      <c r="I1" s="104" t="s">
        <v>530</v>
      </c>
      <c r="J1" s="102" t="s">
        <v>531</v>
      </c>
      <c r="K1" s="105" t="s">
        <v>532</v>
      </c>
      <c r="L1" s="101" t="s">
        <v>533</v>
      </c>
      <c r="M1" s="102" t="s">
        <v>2067</v>
      </c>
      <c r="N1" s="106" t="s">
        <v>535</v>
      </c>
      <c r="O1" s="106" t="s">
        <v>536</v>
      </c>
      <c r="P1" s="106" t="s">
        <v>537</v>
      </c>
      <c r="Q1" s="107" t="s">
        <v>538</v>
      </c>
      <c r="R1" s="108" t="s">
        <v>539</v>
      </c>
      <c r="S1" s="108" t="s">
        <v>540</v>
      </c>
      <c r="T1" s="109" t="s">
        <v>541</v>
      </c>
      <c r="U1" s="110" t="s">
        <v>542</v>
      </c>
      <c r="V1" s="110" t="s">
        <v>543</v>
      </c>
      <c r="W1" s="108" t="s">
        <v>544</v>
      </c>
      <c r="X1" s="109" t="s">
        <v>545</v>
      </c>
      <c r="Y1" s="111" t="s">
        <v>546</v>
      </c>
      <c r="Z1" s="112" t="s">
        <v>547</v>
      </c>
      <c r="AA1" s="112" t="s">
        <v>548</v>
      </c>
      <c r="AB1" s="108" t="s">
        <v>539</v>
      </c>
      <c r="AC1" s="108" t="s">
        <v>540</v>
      </c>
      <c r="AD1" s="109" t="s">
        <v>541</v>
      </c>
      <c r="AE1" s="110" t="s">
        <v>542</v>
      </c>
      <c r="AF1" s="110" t="s">
        <v>543</v>
      </c>
      <c r="AG1" s="108" t="s">
        <v>544</v>
      </c>
      <c r="AH1" s="109" t="s">
        <v>545</v>
      </c>
      <c r="AI1" s="111" t="s">
        <v>556</v>
      </c>
      <c r="AJ1" s="113" t="s">
        <v>547</v>
      </c>
      <c r="AK1" s="114" t="s">
        <v>548</v>
      </c>
      <c r="AL1" s="115" t="s">
        <v>539</v>
      </c>
      <c r="AM1" s="108" t="s">
        <v>540</v>
      </c>
      <c r="AN1" s="109" t="s">
        <v>541</v>
      </c>
      <c r="AO1" s="110" t="s">
        <v>542</v>
      </c>
      <c r="AP1" s="110" t="s">
        <v>543</v>
      </c>
      <c r="AQ1" s="108" t="s">
        <v>544</v>
      </c>
      <c r="AR1" s="109" t="s">
        <v>545</v>
      </c>
      <c r="AS1" s="116" t="s">
        <v>566</v>
      </c>
      <c r="AT1" s="112" t="s">
        <v>547</v>
      </c>
      <c r="AU1" s="113" t="s">
        <v>548</v>
      </c>
      <c r="AV1" s="111" t="s">
        <v>539</v>
      </c>
      <c r="AW1" s="117" t="s">
        <v>540</v>
      </c>
      <c r="AX1" s="118" t="s">
        <v>541</v>
      </c>
      <c r="AY1" s="119" t="s">
        <v>542</v>
      </c>
      <c r="AZ1" s="117" t="s">
        <v>544</v>
      </c>
      <c r="BA1" s="117" t="s">
        <v>575</v>
      </c>
      <c r="BB1" s="116" t="s">
        <v>576</v>
      </c>
      <c r="BC1" s="111" t="s">
        <v>539</v>
      </c>
      <c r="BD1" s="116" t="s">
        <v>578</v>
      </c>
      <c r="BE1" s="117" t="s">
        <v>579</v>
      </c>
      <c r="BF1" s="116" t="s">
        <v>580</v>
      </c>
      <c r="BG1" s="116" t="s">
        <v>581</v>
      </c>
      <c r="BH1" s="120" t="s">
        <v>582</v>
      </c>
      <c r="BI1" s="121" t="s">
        <v>583</v>
      </c>
      <c r="BJ1" s="122" t="s">
        <v>584</v>
      </c>
      <c r="BK1" s="91" t="s">
        <v>585</v>
      </c>
    </row>
    <row r="2" spans="1:63" ht="15.75">
      <c r="A2" s="123">
        <v>499942</v>
      </c>
      <c r="B2" s="126">
        <v>107525</v>
      </c>
      <c r="C2" s="148" t="s">
        <v>587</v>
      </c>
      <c r="D2" s="148" t="s">
        <v>588</v>
      </c>
      <c r="E2" s="124" t="s">
        <v>586</v>
      </c>
      <c r="F2" s="124" t="s">
        <v>586</v>
      </c>
      <c r="G2" s="127" t="s">
        <v>46</v>
      </c>
      <c r="H2" s="126" t="s">
        <v>589</v>
      </c>
      <c r="I2" s="126"/>
      <c r="J2" s="126" t="s">
        <v>590</v>
      </c>
      <c r="K2" s="128"/>
      <c r="L2" s="124" t="s">
        <v>513</v>
      </c>
      <c r="M2" s="126" t="s">
        <v>591</v>
      </c>
      <c r="N2" s="129">
        <v>42248</v>
      </c>
      <c r="O2" s="129">
        <v>44651</v>
      </c>
      <c r="P2" s="129">
        <v>44651</v>
      </c>
      <c r="Q2" s="144">
        <v>3942770</v>
      </c>
      <c r="R2" s="131">
        <v>75000</v>
      </c>
      <c r="S2" s="196">
        <v>0</v>
      </c>
      <c r="T2" s="132">
        <v>0</v>
      </c>
      <c r="U2" s="132">
        <v>0</v>
      </c>
      <c r="V2" s="132"/>
      <c r="W2" s="132">
        <v>0</v>
      </c>
      <c r="X2" s="132">
        <v>0</v>
      </c>
      <c r="Y2" s="158">
        <v>75000</v>
      </c>
      <c r="Z2" s="133">
        <f t="shared" ref="Z2:Z33" si="0">SUM(R2:X2)</f>
        <v>75000</v>
      </c>
      <c r="AA2" s="133">
        <f t="shared" ref="AA2:AA33" si="1">Z2-Y2</f>
        <v>0</v>
      </c>
      <c r="AB2" s="197">
        <v>826967</v>
      </c>
      <c r="AC2" s="159">
        <v>0</v>
      </c>
      <c r="AD2" s="132">
        <v>0</v>
      </c>
      <c r="AE2" s="132">
        <v>0</v>
      </c>
      <c r="AF2" s="132">
        <v>0</v>
      </c>
      <c r="AG2" s="132">
        <v>0</v>
      </c>
      <c r="AH2" s="132"/>
      <c r="AI2" s="111">
        <v>826967</v>
      </c>
      <c r="AJ2" s="134">
        <f t="shared" ref="AJ2:AJ15" si="2">SUM(AB2:AH2)</f>
        <v>826967</v>
      </c>
      <c r="AK2" s="134">
        <f t="shared" ref="AK2:AK65" si="3">AJ2-AI2</f>
        <v>0</v>
      </c>
      <c r="AL2" s="134">
        <v>830914</v>
      </c>
      <c r="AM2" s="135">
        <v>0</v>
      </c>
      <c r="AN2" s="135">
        <v>0</v>
      </c>
      <c r="AO2" s="135">
        <v>0</v>
      </c>
      <c r="AP2" s="135"/>
      <c r="AQ2" s="135">
        <v>0</v>
      </c>
      <c r="AR2" s="135">
        <v>0</v>
      </c>
      <c r="AS2" s="136">
        <v>830914</v>
      </c>
      <c r="AT2" s="134">
        <f>SUM(AL2:AR2)</f>
        <v>830914</v>
      </c>
      <c r="AU2" s="134">
        <f t="shared" ref="AU2:AU65" si="4">AT2-AS2</f>
        <v>0</v>
      </c>
      <c r="AV2" s="134">
        <v>809889</v>
      </c>
      <c r="AW2" s="135"/>
      <c r="AX2" s="135"/>
      <c r="AY2" s="135"/>
      <c r="AZ2" s="135"/>
      <c r="BA2" s="135"/>
      <c r="BB2" s="116">
        <v>809889</v>
      </c>
      <c r="BC2" s="113">
        <v>900000</v>
      </c>
      <c r="BD2" s="116">
        <f>BC2</f>
        <v>900000</v>
      </c>
      <c r="BE2" s="113">
        <v>500000</v>
      </c>
      <c r="BF2" s="116">
        <v>500000</v>
      </c>
      <c r="BG2" s="116">
        <v>1092230</v>
      </c>
      <c r="BH2" s="137">
        <f t="shared" ref="BH2:BH65" si="5">SUM(AS2,AI2,Y2,BB2,BD2,BF2,BG2)</f>
        <v>5035000</v>
      </c>
      <c r="BI2" s="138">
        <f t="shared" ref="BI2:BI65" si="6">BH2-Q2</f>
        <v>1092230</v>
      </c>
      <c r="BJ2" s="147">
        <f>5035000-BH2</f>
        <v>0</v>
      </c>
      <c r="BK2" s="160"/>
    </row>
    <row r="3" spans="1:63" ht="15.75">
      <c r="A3" s="123">
        <v>500737</v>
      </c>
      <c r="B3" s="126">
        <v>107525</v>
      </c>
      <c r="C3" s="148" t="s">
        <v>587</v>
      </c>
      <c r="D3" s="148" t="s">
        <v>588</v>
      </c>
      <c r="E3" s="124" t="s">
        <v>592</v>
      </c>
      <c r="F3" s="124" t="s">
        <v>592</v>
      </c>
      <c r="G3" s="127" t="s">
        <v>46</v>
      </c>
      <c r="H3" s="126" t="s">
        <v>593</v>
      </c>
      <c r="I3" s="126"/>
      <c r="J3" s="126" t="s">
        <v>590</v>
      </c>
      <c r="K3" s="128"/>
      <c r="L3" s="124" t="s">
        <v>514</v>
      </c>
      <c r="M3" s="126" t="s">
        <v>591</v>
      </c>
      <c r="N3" s="129">
        <v>42248</v>
      </c>
      <c r="O3" s="129">
        <v>44651</v>
      </c>
      <c r="P3" s="129">
        <v>44651</v>
      </c>
      <c r="Q3" s="144">
        <v>2324950</v>
      </c>
      <c r="R3" s="132">
        <v>255000</v>
      </c>
      <c r="S3" s="157">
        <v>0</v>
      </c>
      <c r="T3" s="132">
        <v>0</v>
      </c>
      <c r="U3" s="132">
        <v>0</v>
      </c>
      <c r="V3" s="132"/>
      <c r="W3" s="132">
        <v>0</v>
      </c>
      <c r="X3" s="132">
        <v>0</v>
      </c>
      <c r="Y3" s="158">
        <v>255000</v>
      </c>
      <c r="Z3" s="133">
        <f t="shared" si="0"/>
        <v>255000</v>
      </c>
      <c r="AA3" s="133">
        <f t="shared" si="1"/>
        <v>0</v>
      </c>
      <c r="AB3" s="132">
        <v>605000</v>
      </c>
      <c r="AC3" s="159">
        <v>0</v>
      </c>
      <c r="AD3" s="132">
        <v>0</v>
      </c>
      <c r="AE3" s="132">
        <v>0</v>
      </c>
      <c r="AF3" s="132">
        <v>0</v>
      </c>
      <c r="AG3" s="132">
        <v>0</v>
      </c>
      <c r="AH3" s="132"/>
      <c r="AI3" s="111">
        <v>605000</v>
      </c>
      <c r="AJ3" s="134">
        <f t="shared" si="2"/>
        <v>605000</v>
      </c>
      <c r="AK3" s="134">
        <f t="shared" si="3"/>
        <v>0</v>
      </c>
      <c r="AL3" s="135">
        <v>432475</v>
      </c>
      <c r="AM3" s="132">
        <v>0</v>
      </c>
      <c r="AN3" s="135">
        <v>0</v>
      </c>
      <c r="AO3" s="135">
        <v>0</v>
      </c>
      <c r="AP3" s="135"/>
      <c r="AQ3" s="135">
        <v>0</v>
      </c>
      <c r="AR3" s="135">
        <v>0</v>
      </c>
      <c r="AS3" s="116">
        <v>432475</v>
      </c>
      <c r="AT3" s="134">
        <f>SUM(AL3:AR3)</f>
        <v>432475</v>
      </c>
      <c r="AU3" s="134">
        <f t="shared" si="4"/>
        <v>0</v>
      </c>
      <c r="AV3" s="142">
        <v>522475</v>
      </c>
      <c r="AW3" s="135"/>
      <c r="AX3" s="135"/>
      <c r="AY3" s="135"/>
      <c r="AZ3" s="135"/>
      <c r="BA3" s="135"/>
      <c r="BB3" s="116">
        <v>522475</v>
      </c>
      <c r="BC3" s="113">
        <v>510000</v>
      </c>
      <c r="BD3" s="116">
        <f>BC3</f>
        <v>510000</v>
      </c>
      <c r="BE3" s="113">
        <v>0</v>
      </c>
      <c r="BF3" s="116">
        <v>0</v>
      </c>
      <c r="BG3" s="116">
        <v>822425</v>
      </c>
      <c r="BH3" s="137">
        <f t="shared" si="5"/>
        <v>3147375</v>
      </c>
      <c r="BI3" s="138">
        <f t="shared" si="6"/>
        <v>822425</v>
      </c>
      <c r="BJ3" s="147"/>
      <c r="BK3" s="91"/>
    </row>
    <row r="4" spans="1:63" ht="15.75">
      <c r="A4" s="123">
        <v>504879</v>
      </c>
      <c r="B4" s="126">
        <v>108196</v>
      </c>
      <c r="C4" s="148" t="s">
        <v>595</v>
      </c>
      <c r="D4" s="148" t="s">
        <v>596</v>
      </c>
      <c r="E4" s="125" t="s">
        <v>594</v>
      </c>
      <c r="F4" s="124" t="s">
        <v>216</v>
      </c>
      <c r="G4" s="127" t="s">
        <v>46</v>
      </c>
      <c r="H4" s="149" t="s">
        <v>597</v>
      </c>
      <c r="I4" s="126" t="s">
        <v>598</v>
      </c>
      <c r="J4" s="126" t="s">
        <v>599</v>
      </c>
      <c r="K4" s="128" t="s">
        <v>600</v>
      </c>
      <c r="L4" s="121" t="s">
        <v>518</v>
      </c>
      <c r="M4" s="123" t="s">
        <v>601</v>
      </c>
      <c r="N4" s="129">
        <v>43191</v>
      </c>
      <c r="O4" s="129">
        <v>43373</v>
      </c>
      <c r="P4" s="129">
        <v>43738</v>
      </c>
      <c r="Q4" s="144">
        <v>67500</v>
      </c>
      <c r="R4" s="150"/>
      <c r="S4" s="132">
        <v>67500</v>
      </c>
      <c r="T4" s="132">
        <v>0</v>
      </c>
      <c r="U4" s="132">
        <v>0</v>
      </c>
      <c r="V4" s="132">
        <v>0</v>
      </c>
      <c r="W4" s="132">
        <v>0</v>
      </c>
      <c r="X4" s="132">
        <v>0</v>
      </c>
      <c r="Y4" s="111">
        <v>67500</v>
      </c>
      <c r="Z4" s="133">
        <f t="shared" si="0"/>
        <v>67500</v>
      </c>
      <c r="AA4" s="133">
        <f t="shared" si="1"/>
        <v>0</v>
      </c>
      <c r="AB4" s="141"/>
      <c r="AC4" s="132" t="s">
        <v>602</v>
      </c>
      <c r="AD4" s="132" t="s">
        <v>602</v>
      </c>
      <c r="AE4" s="132" t="s">
        <v>602</v>
      </c>
      <c r="AF4" s="132" t="s">
        <v>602</v>
      </c>
      <c r="AG4" s="132" t="s">
        <v>602</v>
      </c>
      <c r="AH4" s="132"/>
      <c r="AI4" s="111">
        <v>0</v>
      </c>
      <c r="AJ4" s="134">
        <f t="shared" si="2"/>
        <v>0</v>
      </c>
      <c r="AK4" s="134">
        <f t="shared" si="3"/>
        <v>0</v>
      </c>
      <c r="AL4" s="142"/>
      <c r="AM4" s="132">
        <v>0</v>
      </c>
      <c r="AN4" s="132">
        <v>0</v>
      </c>
      <c r="AO4" s="132">
        <v>0</v>
      </c>
      <c r="AP4" s="132">
        <v>0</v>
      </c>
      <c r="AQ4" s="132">
        <v>0</v>
      </c>
      <c r="AR4" s="132">
        <v>0</v>
      </c>
      <c r="AS4" s="116">
        <v>0</v>
      </c>
      <c r="AT4" s="134">
        <f>SUM(AL4:AR4)</f>
        <v>0</v>
      </c>
      <c r="AU4" s="134">
        <f t="shared" si="4"/>
        <v>0</v>
      </c>
      <c r="AV4" s="142"/>
      <c r="AW4" s="135"/>
      <c r="AX4" s="135"/>
      <c r="AY4" s="135"/>
      <c r="AZ4" s="135"/>
      <c r="BA4" s="135"/>
      <c r="BB4" s="116"/>
      <c r="BC4" s="113"/>
      <c r="BD4" s="116"/>
      <c r="BE4" s="113"/>
      <c r="BF4" s="116"/>
      <c r="BG4" s="116"/>
      <c r="BH4" s="137">
        <f t="shared" si="5"/>
        <v>67500</v>
      </c>
      <c r="BI4" s="138">
        <f t="shared" si="6"/>
        <v>0</v>
      </c>
      <c r="BJ4" s="147" t="s">
        <v>603</v>
      </c>
      <c r="BK4" s="91" t="s">
        <v>604</v>
      </c>
    </row>
    <row r="5" spans="1:63" ht="15.75">
      <c r="A5" s="123">
        <v>505794</v>
      </c>
      <c r="B5" s="126">
        <v>108288</v>
      </c>
      <c r="C5" s="148" t="s">
        <v>607</v>
      </c>
      <c r="D5" s="149" t="s">
        <v>608</v>
      </c>
      <c r="E5" s="149" t="s">
        <v>605</v>
      </c>
      <c r="F5" s="149" t="s">
        <v>606</v>
      </c>
      <c r="G5" s="127" t="s">
        <v>46</v>
      </c>
      <c r="H5" s="149" t="s">
        <v>597</v>
      </c>
      <c r="I5" s="126" t="s">
        <v>609</v>
      </c>
      <c r="J5" s="149" t="s">
        <v>610</v>
      </c>
      <c r="K5" s="149" t="s">
        <v>611</v>
      </c>
      <c r="L5" s="149" t="s">
        <v>518</v>
      </c>
      <c r="M5" s="123" t="s">
        <v>601</v>
      </c>
      <c r="N5" s="129">
        <v>43374</v>
      </c>
      <c r="O5" s="129">
        <v>43555</v>
      </c>
      <c r="P5" s="129">
        <v>43555</v>
      </c>
      <c r="Q5" s="144">
        <v>74400</v>
      </c>
      <c r="R5" s="150"/>
      <c r="S5" s="132">
        <v>74400</v>
      </c>
      <c r="T5" s="132"/>
      <c r="U5" s="132"/>
      <c r="V5" s="132">
        <v>0</v>
      </c>
      <c r="W5" s="132"/>
      <c r="X5" s="132">
        <v>0</v>
      </c>
      <c r="Y5" s="111">
        <v>74400</v>
      </c>
      <c r="Z5" s="133">
        <f t="shared" si="0"/>
        <v>74400</v>
      </c>
      <c r="AA5" s="133">
        <f t="shared" si="1"/>
        <v>0</v>
      </c>
      <c r="AB5" s="141"/>
      <c r="AC5" s="132" t="s">
        <v>602</v>
      </c>
      <c r="AD5" s="132" t="s">
        <v>602</v>
      </c>
      <c r="AE5" s="132" t="s">
        <v>602</v>
      </c>
      <c r="AF5" s="132" t="s">
        <v>602</v>
      </c>
      <c r="AG5" s="132" t="s">
        <v>602</v>
      </c>
      <c r="AH5" s="132"/>
      <c r="AI5" s="111">
        <v>0</v>
      </c>
      <c r="AJ5" s="134">
        <f t="shared" si="2"/>
        <v>0</v>
      </c>
      <c r="AK5" s="134">
        <f t="shared" si="3"/>
        <v>0</v>
      </c>
      <c r="AL5" s="142"/>
      <c r="AM5" s="132">
        <v>0</v>
      </c>
      <c r="AN5" s="132">
        <v>0</v>
      </c>
      <c r="AO5" s="132">
        <v>0</v>
      </c>
      <c r="AP5" s="132">
        <v>0</v>
      </c>
      <c r="AQ5" s="132">
        <v>0</v>
      </c>
      <c r="AR5" s="132">
        <v>0</v>
      </c>
      <c r="AS5" s="116">
        <v>0</v>
      </c>
      <c r="AT5" s="134">
        <f>SUM(AL5:AS5)</f>
        <v>0</v>
      </c>
      <c r="AU5" s="134">
        <f t="shared" si="4"/>
        <v>0</v>
      </c>
      <c r="AV5" s="142"/>
      <c r="AW5" s="135"/>
      <c r="AX5" s="135"/>
      <c r="AY5" s="135"/>
      <c r="AZ5" s="135"/>
      <c r="BA5" s="135"/>
      <c r="BB5" s="116"/>
      <c r="BC5" s="113"/>
      <c r="BD5" s="116"/>
      <c r="BE5" s="113"/>
      <c r="BF5" s="116"/>
      <c r="BG5" s="116"/>
      <c r="BH5" s="137">
        <f t="shared" si="5"/>
        <v>74400</v>
      </c>
      <c r="BI5" s="138">
        <f t="shared" si="6"/>
        <v>0</v>
      </c>
      <c r="BJ5" s="147" t="s">
        <v>612</v>
      </c>
      <c r="BK5" s="91"/>
    </row>
    <row r="6" spans="1:63" ht="15.75">
      <c r="A6" s="123">
        <v>506210</v>
      </c>
      <c r="B6" s="126">
        <v>108346</v>
      </c>
      <c r="C6" s="148" t="s">
        <v>614</v>
      </c>
      <c r="D6" s="149" t="s">
        <v>615</v>
      </c>
      <c r="E6" s="149" t="s">
        <v>613</v>
      </c>
      <c r="F6" s="149" t="s">
        <v>86</v>
      </c>
      <c r="G6" s="127" t="s">
        <v>46</v>
      </c>
      <c r="H6" s="149" t="s">
        <v>597</v>
      </c>
      <c r="I6" s="126" t="s">
        <v>609</v>
      </c>
      <c r="J6" s="149" t="s">
        <v>610</v>
      </c>
      <c r="K6" s="149" t="s">
        <v>611</v>
      </c>
      <c r="L6" s="149" t="s">
        <v>518</v>
      </c>
      <c r="M6" s="123" t="s">
        <v>616</v>
      </c>
      <c r="N6" s="129">
        <v>43466</v>
      </c>
      <c r="O6" s="129">
        <v>43524</v>
      </c>
      <c r="P6" s="129">
        <v>43921</v>
      </c>
      <c r="Q6" s="144">
        <v>24800</v>
      </c>
      <c r="R6" s="150"/>
      <c r="S6" s="132">
        <v>24800</v>
      </c>
      <c r="T6" s="132"/>
      <c r="U6" s="132"/>
      <c r="V6" s="132">
        <v>0</v>
      </c>
      <c r="W6" s="132"/>
      <c r="X6" s="132"/>
      <c r="Y6" s="111">
        <v>24800</v>
      </c>
      <c r="Z6" s="133">
        <f t="shared" si="0"/>
        <v>24800</v>
      </c>
      <c r="AA6" s="133">
        <f t="shared" si="1"/>
        <v>0</v>
      </c>
      <c r="AB6" s="141"/>
      <c r="AC6" s="132" t="s">
        <v>602</v>
      </c>
      <c r="AD6" s="132" t="s">
        <v>602</v>
      </c>
      <c r="AE6" s="132" t="s">
        <v>602</v>
      </c>
      <c r="AF6" s="132" t="s">
        <v>602</v>
      </c>
      <c r="AG6" s="132" t="s">
        <v>602</v>
      </c>
      <c r="AH6" s="132"/>
      <c r="AI6" s="111"/>
      <c r="AJ6" s="134">
        <f t="shared" si="2"/>
        <v>0</v>
      </c>
      <c r="AK6" s="134">
        <f t="shared" si="3"/>
        <v>0</v>
      </c>
      <c r="AL6" s="142"/>
      <c r="AM6" s="132">
        <v>0</v>
      </c>
      <c r="AN6" s="132">
        <v>0</v>
      </c>
      <c r="AO6" s="132">
        <v>0</v>
      </c>
      <c r="AP6" s="132">
        <v>0</v>
      </c>
      <c r="AQ6" s="132">
        <v>0</v>
      </c>
      <c r="AR6" s="132">
        <v>0</v>
      </c>
      <c r="AS6" s="116">
        <f>SUM(AM6:AR6)</f>
        <v>0</v>
      </c>
      <c r="AT6" s="134">
        <f>SUM(AL6:AR6)</f>
        <v>0</v>
      </c>
      <c r="AU6" s="134">
        <f t="shared" si="4"/>
        <v>0</v>
      </c>
      <c r="AV6" s="142"/>
      <c r="AW6" s="135"/>
      <c r="AX6" s="135"/>
      <c r="AY6" s="135"/>
      <c r="AZ6" s="135"/>
      <c r="BA6" s="135"/>
      <c r="BB6" s="116"/>
      <c r="BC6" s="113"/>
      <c r="BD6" s="116"/>
      <c r="BE6" s="113"/>
      <c r="BF6" s="116"/>
      <c r="BG6" s="116"/>
      <c r="BH6" s="137">
        <f t="shared" si="5"/>
        <v>24800</v>
      </c>
      <c r="BI6" s="138">
        <f t="shared" si="6"/>
        <v>0</v>
      </c>
      <c r="BJ6" s="147" t="s">
        <v>617</v>
      </c>
      <c r="BK6" s="91"/>
    </row>
    <row r="7" spans="1:63" ht="15.75">
      <c r="A7" s="123">
        <v>509180</v>
      </c>
      <c r="B7" s="126">
        <v>108894</v>
      </c>
      <c r="C7" s="124" t="s">
        <v>619</v>
      </c>
      <c r="D7" s="124" t="s">
        <v>620</v>
      </c>
      <c r="E7" s="140" t="s">
        <v>618</v>
      </c>
      <c r="F7" s="124" t="s">
        <v>122</v>
      </c>
      <c r="G7" s="127" t="s">
        <v>46</v>
      </c>
      <c r="H7" s="126" t="s">
        <v>597</v>
      </c>
      <c r="I7" s="126" t="s">
        <v>609</v>
      </c>
      <c r="J7" s="126" t="s">
        <v>610</v>
      </c>
      <c r="K7" s="128" t="s">
        <v>2068</v>
      </c>
      <c r="L7" s="121" t="s">
        <v>518</v>
      </c>
      <c r="M7" s="123" t="s">
        <v>622</v>
      </c>
      <c r="N7" s="129">
        <v>43952</v>
      </c>
      <c r="O7" s="129">
        <v>44805</v>
      </c>
      <c r="P7" s="129">
        <v>44805</v>
      </c>
      <c r="Q7" s="130">
        <v>165101</v>
      </c>
      <c r="R7" s="113"/>
      <c r="S7" s="113">
        <v>165101</v>
      </c>
      <c r="T7" s="132"/>
      <c r="U7" s="132"/>
      <c r="V7" s="132"/>
      <c r="W7" s="132"/>
      <c r="X7" s="132"/>
      <c r="Y7" s="111">
        <f>SUM(R7:X7)</f>
        <v>165101</v>
      </c>
      <c r="Z7" s="133">
        <f t="shared" si="0"/>
        <v>165101</v>
      </c>
      <c r="AA7" s="133">
        <f t="shared" si="1"/>
        <v>0</v>
      </c>
      <c r="AB7" s="141"/>
      <c r="AC7" s="132" t="s">
        <v>602</v>
      </c>
      <c r="AD7" s="132" t="s">
        <v>602</v>
      </c>
      <c r="AE7" s="132" t="s">
        <v>602</v>
      </c>
      <c r="AF7" s="132" t="s">
        <v>602</v>
      </c>
      <c r="AG7" s="132" t="s">
        <v>602</v>
      </c>
      <c r="AH7" s="132"/>
      <c r="AI7" s="111">
        <v>0</v>
      </c>
      <c r="AJ7" s="134">
        <f t="shared" si="2"/>
        <v>0</v>
      </c>
      <c r="AK7" s="134">
        <f t="shared" si="3"/>
        <v>0</v>
      </c>
      <c r="AL7" s="142"/>
      <c r="AM7" s="132">
        <v>0</v>
      </c>
      <c r="AN7" s="132">
        <v>0</v>
      </c>
      <c r="AO7" s="132">
        <v>0</v>
      </c>
      <c r="AP7" s="132">
        <v>0</v>
      </c>
      <c r="AQ7" s="132">
        <v>0</v>
      </c>
      <c r="AR7" s="132">
        <v>0</v>
      </c>
      <c r="AS7" s="116"/>
      <c r="AT7" s="134">
        <f>SUM(AL7:AR7)</f>
        <v>0</v>
      </c>
      <c r="AU7" s="134">
        <f t="shared" si="4"/>
        <v>0</v>
      </c>
      <c r="AV7" s="142"/>
      <c r="AW7" s="135"/>
      <c r="AX7" s="135"/>
      <c r="AY7" s="135"/>
      <c r="AZ7" s="135"/>
      <c r="BA7" s="135"/>
      <c r="BB7" s="116"/>
      <c r="BC7" s="113"/>
      <c r="BD7" s="116"/>
      <c r="BE7" s="113"/>
      <c r="BF7" s="116"/>
      <c r="BG7" s="116"/>
      <c r="BH7" s="137">
        <f t="shared" si="5"/>
        <v>165101</v>
      </c>
      <c r="BI7" s="138">
        <f t="shared" si="6"/>
        <v>0</v>
      </c>
      <c r="BJ7" s="126" t="s">
        <v>623</v>
      </c>
      <c r="BK7" s="91"/>
    </row>
    <row r="8" spans="1:63" ht="15.75">
      <c r="A8" s="123">
        <v>506472</v>
      </c>
      <c r="B8" s="126">
        <v>200011</v>
      </c>
      <c r="C8" s="124" t="s">
        <v>626</v>
      </c>
      <c r="D8" s="124" t="s">
        <v>627</v>
      </c>
      <c r="E8" s="125" t="s">
        <v>624</v>
      </c>
      <c r="F8" s="124" t="s">
        <v>625</v>
      </c>
      <c r="G8" s="127" t="s">
        <v>53</v>
      </c>
      <c r="H8" s="126" t="s">
        <v>628</v>
      </c>
      <c r="I8" s="126" t="s">
        <v>598</v>
      </c>
      <c r="J8" s="126" t="s">
        <v>629</v>
      </c>
      <c r="K8" s="128" t="s">
        <v>630</v>
      </c>
      <c r="L8" s="121" t="s">
        <v>19</v>
      </c>
      <c r="M8" s="123" t="s">
        <v>631</v>
      </c>
      <c r="N8" s="129">
        <v>43556</v>
      </c>
      <c r="O8" s="129">
        <v>43921</v>
      </c>
      <c r="P8" s="129">
        <v>44286</v>
      </c>
      <c r="Q8" s="130">
        <v>41091</v>
      </c>
      <c r="R8" s="113"/>
      <c r="S8" s="132">
        <v>20000</v>
      </c>
      <c r="T8" s="132">
        <v>0</v>
      </c>
      <c r="U8" s="132">
        <v>21091</v>
      </c>
      <c r="V8" s="132">
        <v>0</v>
      </c>
      <c r="W8" s="132">
        <v>0</v>
      </c>
      <c r="X8" s="132">
        <v>0</v>
      </c>
      <c r="Y8" s="111">
        <v>41091</v>
      </c>
      <c r="Z8" s="133">
        <f t="shared" si="0"/>
        <v>41091</v>
      </c>
      <c r="AA8" s="133">
        <f t="shared" si="1"/>
        <v>0</v>
      </c>
      <c r="AB8" s="141"/>
      <c r="AC8" s="132" t="s">
        <v>602</v>
      </c>
      <c r="AD8" s="132" t="s">
        <v>602</v>
      </c>
      <c r="AE8" s="132" t="s">
        <v>602</v>
      </c>
      <c r="AF8" s="132" t="s">
        <v>602</v>
      </c>
      <c r="AG8" s="132" t="s">
        <v>602</v>
      </c>
      <c r="AH8" s="132"/>
      <c r="AI8" s="111">
        <v>0</v>
      </c>
      <c r="AJ8" s="134">
        <f t="shared" si="2"/>
        <v>0</v>
      </c>
      <c r="AK8" s="134">
        <f t="shared" si="3"/>
        <v>0</v>
      </c>
      <c r="AL8" s="145"/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16">
        <v>0</v>
      </c>
      <c r="AT8" s="134">
        <f>SUM(AL8:AS8)</f>
        <v>0</v>
      </c>
      <c r="AU8" s="134">
        <f t="shared" si="4"/>
        <v>0</v>
      </c>
      <c r="AV8" s="142"/>
      <c r="AW8" s="135"/>
      <c r="AX8" s="135"/>
      <c r="AY8" s="135"/>
      <c r="AZ8" s="135"/>
      <c r="BA8" s="135"/>
      <c r="BB8" s="116"/>
      <c r="BC8" s="113"/>
      <c r="BD8" s="116"/>
      <c r="BE8" s="113"/>
      <c r="BF8" s="116"/>
      <c r="BG8" s="116"/>
      <c r="BH8" s="137">
        <f t="shared" si="5"/>
        <v>41091</v>
      </c>
      <c r="BI8" s="138">
        <f t="shared" si="6"/>
        <v>0</v>
      </c>
      <c r="BJ8" s="126"/>
      <c r="BK8" s="91"/>
    </row>
    <row r="9" spans="1:63" ht="15.75">
      <c r="A9" s="123">
        <v>500311</v>
      </c>
      <c r="B9" s="126">
        <v>200037</v>
      </c>
      <c r="C9" s="148" t="s">
        <v>633</v>
      </c>
      <c r="D9" s="148" t="s">
        <v>634</v>
      </c>
      <c r="E9" s="125" t="s">
        <v>632</v>
      </c>
      <c r="F9" s="124" t="s">
        <v>133</v>
      </c>
      <c r="G9" s="127" t="s">
        <v>75</v>
      </c>
      <c r="H9" s="149" t="s">
        <v>597</v>
      </c>
      <c r="I9" s="126" t="s">
        <v>598</v>
      </c>
      <c r="J9" s="126" t="s">
        <v>635</v>
      </c>
      <c r="K9" s="128" t="s">
        <v>636</v>
      </c>
      <c r="L9" s="121" t="s">
        <v>637</v>
      </c>
      <c r="M9" s="123" t="s">
        <v>638</v>
      </c>
      <c r="N9" s="129">
        <v>42248</v>
      </c>
      <c r="O9" s="129">
        <v>42643</v>
      </c>
      <c r="P9" s="129">
        <v>42643</v>
      </c>
      <c r="Q9" s="144">
        <v>176667</v>
      </c>
      <c r="R9" s="132">
        <v>176667</v>
      </c>
      <c r="S9" s="132"/>
      <c r="T9" s="132">
        <v>0</v>
      </c>
      <c r="U9" s="132">
        <v>0</v>
      </c>
      <c r="V9" s="132"/>
      <c r="W9" s="132">
        <v>0</v>
      </c>
      <c r="X9" s="132"/>
      <c r="Y9" s="111">
        <v>176667</v>
      </c>
      <c r="Z9" s="133">
        <f t="shared" si="0"/>
        <v>176667</v>
      </c>
      <c r="AA9" s="133">
        <f t="shared" si="1"/>
        <v>0</v>
      </c>
      <c r="AB9" s="141"/>
      <c r="AC9" s="132" t="s">
        <v>602</v>
      </c>
      <c r="AD9" s="132" t="s">
        <v>602</v>
      </c>
      <c r="AE9" s="132" t="s">
        <v>602</v>
      </c>
      <c r="AF9" s="132" t="s">
        <v>602</v>
      </c>
      <c r="AG9" s="132" t="s">
        <v>602</v>
      </c>
      <c r="AH9" s="132"/>
      <c r="AI9" s="111">
        <v>0</v>
      </c>
      <c r="AJ9" s="134">
        <f t="shared" si="2"/>
        <v>0</v>
      </c>
      <c r="AK9" s="134">
        <f t="shared" si="3"/>
        <v>0</v>
      </c>
      <c r="AL9" s="142"/>
      <c r="AM9" s="132" t="s">
        <v>602</v>
      </c>
      <c r="AN9" s="132" t="s">
        <v>602</v>
      </c>
      <c r="AO9" s="132" t="s">
        <v>602</v>
      </c>
      <c r="AP9" s="132" t="s">
        <v>602</v>
      </c>
      <c r="AQ9" s="132" t="s">
        <v>602</v>
      </c>
      <c r="AR9" s="135" t="s">
        <v>602</v>
      </c>
      <c r="AS9" s="116">
        <v>0</v>
      </c>
      <c r="AT9" s="134">
        <f t="shared" ref="AT9:AT40" si="7">SUM(AL9:AR9)</f>
        <v>0</v>
      </c>
      <c r="AU9" s="134">
        <f t="shared" si="4"/>
        <v>0</v>
      </c>
      <c r="AV9" s="142"/>
      <c r="AW9" s="132" t="s">
        <v>602</v>
      </c>
      <c r="AX9" s="132" t="s">
        <v>602</v>
      </c>
      <c r="AY9" s="132" t="s">
        <v>602</v>
      </c>
      <c r="AZ9" s="132" t="s">
        <v>602</v>
      </c>
      <c r="BA9" s="132" t="s">
        <v>602</v>
      </c>
      <c r="BB9" s="116"/>
      <c r="BC9" s="113"/>
      <c r="BD9" s="116"/>
      <c r="BE9" s="113"/>
      <c r="BF9" s="116"/>
      <c r="BG9" s="116"/>
      <c r="BH9" s="137">
        <f t="shared" si="5"/>
        <v>176667</v>
      </c>
      <c r="BI9" s="138">
        <f t="shared" si="6"/>
        <v>0</v>
      </c>
      <c r="BJ9" s="165" t="s">
        <v>639</v>
      </c>
      <c r="BK9" s="91"/>
    </row>
    <row r="10" spans="1:63" ht="15.75">
      <c r="A10" s="123">
        <v>501349</v>
      </c>
      <c r="B10" s="126">
        <v>200037</v>
      </c>
      <c r="C10" s="124" t="s">
        <v>633</v>
      </c>
      <c r="D10" s="124" t="s">
        <v>634</v>
      </c>
      <c r="E10" s="125" t="s">
        <v>632</v>
      </c>
      <c r="F10" s="124" t="s">
        <v>133</v>
      </c>
      <c r="G10" s="127" t="s">
        <v>75</v>
      </c>
      <c r="H10" s="126" t="s">
        <v>597</v>
      </c>
      <c r="I10" s="126" t="s">
        <v>598</v>
      </c>
      <c r="J10" s="126" t="s">
        <v>635</v>
      </c>
      <c r="K10" s="128" t="s">
        <v>636</v>
      </c>
      <c r="L10" s="121" t="s">
        <v>515</v>
      </c>
      <c r="M10" s="123" t="s">
        <v>640</v>
      </c>
      <c r="N10" s="129">
        <v>42614</v>
      </c>
      <c r="O10" s="129">
        <v>43708</v>
      </c>
      <c r="P10" s="129">
        <v>43708</v>
      </c>
      <c r="Q10" s="130">
        <v>300000</v>
      </c>
      <c r="R10" s="113"/>
      <c r="S10" s="132">
        <v>58000</v>
      </c>
      <c r="T10" s="132">
        <v>0</v>
      </c>
      <c r="U10" s="132">
        <v>32000</v>
      </c>
      <c r="V10" s="132"/>
      <c r="W10" s="132">
        <v>10000</v>
      </c>
      <c r="X10" s="132">
        <v>0</v>
      </c>
      <c r="Y10" s="111">
        <v>100000</v>
      </c>
      <c r="Z10" s="133">
        <f t="shared" si="0"/>
        <v>100000</v>
      </c>
      <c r="AA10" s="133">
        <f t="shared" si="1"/>
        <v>0</v>
      </c>
      <c r="AB10" s="141"/>
      <c r="AC10" s="132">
        <v>58000</v>
      </c>
      <c r="AD10" s="132">
        <v>0</v>
      </c>
      <c r="AE10" s="132">
        <v>32000</v>
      </c>
      <c r="AF10" s="132">
        <v>10000</v>
      </c>
      <c r="AG10" s="132">
        <v>0</v>
      </c>
      <c r="AH10" s="132"/>
      <c r="AI10" s="111">
        <v>100000</v>
      </c>
      <c r="AJ10" s="134">
        <f t="shared" si="2"/>
        <v>100000</v>
      </c>
      <c r="AK10" s="134">
        <f t="shared" si="3"/>
        <v>0</v>
      </c>
      <c r="AL10" s="142"/>
      <c r="AM10" s="135">
        <v>58000</v>
      </c>
      <c r="AN10" s="135">
        <v>0</v>
      </c>
      <c r="AO10" s="135">
        <v>32000</v>
      </c>
      <c r="AP10" s="135"/>
      <c r="AQ10" s="135">
        <v>10000</v>
      </c>
      <c r="AR10" s="135">
        <v>0</v>
      </c>
      <c r="AS10" s="116">
        <v>100000</v>
      </c>
      <c r="AT10" s="134">
        <f t="shared" si="7"/>
        <v>100000</v>
      </c>
      <c r="AU10" s="134">
        <f t="shared" si="4"/>
        <v>0</v>
      </c>
      <c r="AV10" s="142"/>
      <c r="AW10" s="135"/>
      <c r="AX10" s="135"/>
      <c r="AY10" s="135"/>
      <c r="AZ10" s="135"/>
      <c r="BA10" s="135"/>
      <c r="BB10" s="116"/>
      <c r="BC10" s="113"/>
      <c r="BD10" s="116"/>
      <c r="BE10" s="113"/>
      <c r="BF10" s="116"/>
      <c r="BG10" s="116"/>
      <c r="BH10" s="137">
        <f t="shared" si="5"/>
        <v>300000</v>
      </c>
      <c r="BI10" s="138">
        <f t="shared" si="6"/>
        <v>0</v>
      </c>
      <c r="BJ10" s="126"/>
      <c r="BK10" s="91"/>
    </row>
    <row r="11" spans="1:63" ht="15.75">
      <c r="A11" s="123">
        <v>507779</v>
      </c>
      <c r="B11" s="126">
        <v>200037</v>
      </c>
      <c r="C11" s="148" t="s">
        <v>633</v>
      </c>
      <c r="D11" s="148" t="s">
        <v>634</v>
      </c>
      <c r="E11" s="125" t="s">
        <v>632</v>
      </c>
      <c r="F11" s="124" t="s">
        <v>133</v>
      </c>
      <c r="G11" s="127" t="s">
        <v>75</v>
      </c>
      <c r="H11" s="149" t="s">
        <v>597</v>
      </c>
      <c r="I11" s="126" t="s">
        <v>598</v>
      </c>
      <c r="J11" s="126" t="s">
        <v>635</v>
      </c>
      <c r="K11" s="128" t="s">
        <v>636</v>
      </c>
      <c r="L11" s="121" t="s">
        <v>519</v>
      </c>
      <c r="M11" s="123" t="s">
        <v>641</v>
      </c>
      <c r="N11" s="129">
        <v>43709</v>
      </c>
      <c r="O11" s="129">
        <v>44530</v>
      </c>
      <c r="P11" s="129">
        <v>44530</v>
      </c>
      <c r="Q11" s="130">
        <f>95000+95000</f>
        <v>190000</v>
      </c>
      <c r="R11" s="113"/>
      <c r="S11" s="132">
        <v>50000</v>
      </c>
      <c r="T11" s="132"/>
      <c r="U11" s="132">
        <v>20000</v>
      </c>
      <c r="V11" s="132"/>
      <c r="W11" s="132">
        <v>5000</v>
      </c>
      <c r="X11" s="132">
        <v>20000</v>
      </c>
      <c r="Y11" s="111">
        <v>95000</v>
      </c>
      <c r="Z11" s="133">
        <f t="shared" si="0"/>
        <v>95000</v>
      </c>
      <c r="AA11" s="133">
        <f t="shared" si="1"/>
        <v>0</v>
      </c>
      <c r="AB11" s="141"/>
      <c r="AC11" s="132">
        <v>50000</v>
      </c>
      <c r="AD11" s="132"/>
      <c r="AE11" s="132">
        <v>20000</v>
      </c>
      <c r="AF11" s="132"/>
      <c r="AG11" s="132">
        <v>5000</v>
      </c>
      <c r="AH11" s="132">
        <v>20000</v>
      </c>
      <c r="AI11" s="111">
        <v>95000</v>
      </c>
      <c r="AJ11" s="134">
        <f t="shared" si="2"/>
        <v>95000</v>
      </c>
      <c r="AK11" s="134">
        <f t="shared" si="3"/>
        <v>0</v>
      </c>
      <c r="AL11" s="142"/>
      <c r="AM11" s="132">
        <v>50000</v>
      </c>
      <c r="AN11" s="132">
        <v>0</v>
      </c>
      <c r="AO11" s="132">
        <v>20000</v>
      </c>
      <c r="AP11" s="132">
        <v>0</v>
      </c>
      <c r="AQ11" s="132">
        <v>5000</v>
      </c>
      <c r="AR11" s="132">
        <v>20000</v>
      </c>
      <c r="AS11" s="116">
        <f>SUM(AM11:AR11)</f>
        <v>95000</v>
      </c>
      <c r="AT11" s="134">
        <f t="shared" si="7"/>
        <v>95000</v>
      </c>
      <c r="AU11" s="134">
        <f t="shared" si="4"/>
        <v>0</v>
      </c>
      <c r="AV11" s="142"/>
      <c r="AW11" s="135"/>
      <c r="AX11" s="135"/>
      <c r="AY11" s="135"/>
      <c r="AZ11" s="135"/>
      <c r="BA11" s="135"/>
      <c r="BB11" s="116"/>
      <c r="BC11" s="113"/>
      <c r="BD11" s="116"/>
      <c r="BE11" s="113"/>
      <c r="BF11" s="116"/>
      <c r="BG11" s="116"/>
      <c r="BH11" s="137">
        <f t="shared" si="5"/>
        <v>285000</v>
      </c>
      <c r="BI11" s="138">
        <f t="shared" si="6"/>
        <v>95000</v>
      </c>
      <c r="BJ11" s="126"/>
      <c r="BK11" s="91"/>
    </row>
    <row r="12" spans="1:63" ht="15.75">
      <c r="A12" s="139">
        <v>507642</v>
      </c>
      <c r="B12" s="126">
        <v>200150</v>
      </c>
      <c r="C12" s="124" t="s">
        <v>643</v>
      </c>
      <c r="D12" s="124" t="s">
        <v>644</v>
      </c>
      <c r="E12" s="156" t="s">
        <v>642</v>
      </c>
      <c r="F12" s="124" t="s">
        <v>277</v>
      </c>
      <c r="G12" s="127" t="s">
        <v>53</v>
      </c>
      <c r="H12" s="126" t="s">
        <v>628</v>
      </c>
      <c r="I12" s="126" t="s">
        <v>598</v>
      </c>
      <c r="J12" s="126" t="s">
        <v>645</v>
      </c>
      <c r="K12" s="128"/>
      <c r="L12" s="121" t="s">
        <v>519</v>
      </c>
      <c r="M12" s="123" t="s">
        <v>646</v>
      </c>
      <c r="N12" s="129">
        <v>43709</v>
      </c>
      <c r="O12" s="129">
        <v>44530</v>
      </c>
      <c r="P12" s="129">
        <v>44530</v>
      </c>
      <c r="Q12" s="130">
        <f>90000+85000</f>
        <v>175000</v>
      </c>
      <c r="R12" s="113"/>
      <c r="S12" s="132">
        <v>25000</v>
      </c>
      <c r="T12" s="132"/>
      <c r="U12" s="132">
        <v>39000</v>
      </c>
      <c r="V12" s="132">
        <v>2000</v>
      </c>
      <c r="W12" s="132">
        <v>24000</v>
      </c>
      <c r="X12" s="132">
        <v>0</v>
      </c>
      <c r="Y12" s="111">
        <v>90000</v>
      </c>
      <c r="Z12" s="133">
        <f t="shared" si="0"/>
        <v>90000</v>
      </c>
      <c r="AA12" s="133">
        <f t="shared" si="1"/>
        <v>0</v>
      </c>
      <c r="AB12" s="141"/>
      <c r="AC12" s="132">
        <v>25000</v>
      </c>
      <c r="AD12" s="132"/>
      <c r="AE12" s="132">
        <v>34000</v>
      </c>
      <c r="AF12" s="132">
        <v>2000</v>
      </c>
      <c r="AG12" s="132">
        <v>24000</v>
      </c>
      <c r="AH12" s="132">
        <v>0</v>
      </c>
      <c r="AI12" s="111">
        <v>85000</v>
      </c>
      <c r="AJ12" s="134">
        <f t="shared" si="2"/>
        <v>85000</v>
      </c>
      <c r="AK12" s="134">
        <f t="shared" si="3"/>
        <v>0</v>
      </c>
      <c r="AL12" s="142"/>
      <c r="AM12" s="132">
        <v>25000</v>
      </c>
      <c r="AN12" s="132"/>
      <c r="AO12" s="132">
        <v>34000</v>
      </c>
      <c r="AP12" s="132">
        <v>2000</v>
      </c>
      <c r="AQ12" s="132">
        <v>24000</v>
      </c>
      <c r="AR12" s="132">
        <v>0</v>
      </c>
      <c r="AS12" s="116">
        <f>SUM(AM12:AR12)</f>
        <v>85000</v>
      </c>
      <c r="AT12" s="134">
        <f t="shared" si="7"/>
        <v>85000</v>
      </c>
      <c r="AU12" s="134">
        <f t="shared" si="4"/>
        <v>0</v>
      </c>
      <c r="AV12" s="142"/>
      <c r="AW12" s="135"/>
      <c r="AX12" s="135"/>
      <c r="AY12" s="135"/>
      <c r="AZ12" s="135"/>
      <c r="BA12" s="135"/>
      <c r="BB12" s="116"/>
      <c r="BC12" s="113"/>
      <c r="BD12" s="116"/>
      <c r="BE12" s="113"/>
      <c r="BF12" s="116"/>
      <c r="BG12" s="116"/>
      <c r="BH12" s="137">
        <f t="shared" si="5"/>
        <v>260000</v>
      </c>
      <c r="BI12" s="138">
        <f t="shared" si="6"/>
        <v>85000</v>
      </c>
      <c r="BJ12" s="126"/>
      <c r="BK12" s="91"/>
    </row>
    <row r="13" spans="1:63" ht="15.75">
      <c r="A13" s="123">
        <v>502098</v>
      </c>
      <c r="B13" s="126">
        <v>200181</v>
      </c>
      <c r="C13" s="124" t="s">
        <v>649</v>
      </c>
      <c r="D13" s="124" t="s">
        <v>608</v>
      </c>
      <c r="E13" s="125" t="s">
        <v>647</v>
      </c>
      <c r="F13" s="124" t="s">
        <v>648</v>
      </c>
      <c r="G13" s="127" t="s">
        <v>46</v>
      </c>
      <c r="H13" s="126" t="s">
        <v>597</v>
      </c>
      <c r="I13" s="126" t="s">
        <v>598</v>
      </c>
      <c r="J13" s="126" t="s">
        <v>650</v>
      </c>
      <c r="K13" s="161" t="s">
        <v>651</v>
      </c>
      <c r="L13" s="121" t="s">
        <v>652</v>
      </c>
      <c r="M13" s="123" t="s">
        <v>653</v>
      </c>
      <c r="N13" s="129">
        <v>42826</v>
      </c>
      <c r="O13" s="129">
        <v>43190</v>
      </c>
      <c r="P13" s="129">
        <v>43281</v>
      </c>
      <c r="Q13" s="130">
        <v>37500</v>
      </c>
      <c r="R13" s="113"/>
      <c r="S13" s="132">
        <v>21250</v>
      </c>
      <c r="T13" s="132">
        <v>3250</v>
      </c>
      <c r="U13" s="132">
        <v>13000</v>
      </c>
      <c r="V13" s="132"/>
      <c r="W13" s="132">
        <v>0</v>
      </c>
      <c r="X13" s="132">
        <v>0</v>
      </c>
      <c r="Y13" s="111">
        <v>37500</v>
      </c>
      <c r="Z13" s="133">
        <f t="shared" si="0"/>
        <v>37500</v>
      </c>
      <c r="AA13" s="133">
        <f t="shared" si="1"/>
        <v>0</v>
      </c>
      <c r="AB13" s="141"/>
      <c r="AC13" s="132" t="s">
        <v>602</v>
      </c>
      <c r="AD13" s="132" t="s">
        <v>602</v>
      </c>
      <c r="AE13" s="132" t="s">
        <v>602</v>
      </c>
      <c r="AF13" s="132" t="s">
        <v>602</v>
      </c>
      <c r="AG13" s="132" t="s">
        <v>602</v>
      </c>
      <c r="AH13" s="132"/>
      <c r="AI13" s="111">
        <v>0</v>
      </c>
      <c r="AJ13" s="134">
        <f t="shared" si="2"/>
        <v>0</v>
      </c>
      <c r="AK13" s="134">
        <f t="shared" si="3"/>
        <v>0</v>
      </c>
      <c r="AL13" s="142"/>
      <c r="AM13" s="132" t="s">
        <v>602</v>
      </c>
      <c r="AN13" s="132" t="s">
        <v>602</v>
      </c>
      <c r="AO13" s="132" t="s">
        <v>602</v>
      </c>
      <c r="AP13" s="132" t="s">
        <v>602</v>
      </c>
      <c r="AQ13" s="132" t="s">
        <v>602</v>
      </c>
      <c r="AR13" s="135" t="s">
        <v>602</v>
      </c>
      <c r="AS13" s="116">
        <v>0</v>
      </c>
      <c r="AT13" s="134">
        <f t="shared" si="7"/>
        <v>0</v>
      </c>
      <c r="AU13" s="134">
        <f t="shared" si="4"/>
        <v>0</v>
      </c>
      <c r="AV13" s="142"/>
      <c r="AW13" s="135"/>
      <c r="AX13" s="135"/>
      <c r="AY13" s="135"/>
      <c r="AZ13" s="135"/>
      <c r="BA13" s="135"/>
      <c r="BB13" s="116"/>
      <c r="BC13" s="113"/>
      <c r="BD13" s="116"/>
      <c r="BE13" s="113"/>
      <c r="BF13" s="116"/>
      <c r="BG13" s="116"/>
      <c r="BH13" s="137">
        <f t="shared" si="5"/>
        <v>37500</v>
      </c>
      <c r="BI13" s="138">
        <f t="shared" si="6"/>
        <v>0</v>
      </c>
      <c r="BJ13" s="124" t="s">
        <v>654</v>
      </c>
      <c r="BK13" s="91"/>
    </row>
    <row r="14" spans="1:63" ht="15.75">
      <c r="A14" s="123">
        <v>500974</v>
      </c>
      <c r="B14" s="126">
        <v>200274</v>
      </c>
      <c r="C14" s="121" t="s">
        <v>657</v>
      </c>
      <c r="D14" s="121" t="s">
        <v>658</v>
      </c>
      <c r="E14" s="125" t="s">
        <v>655</v>
      </c>
      <c r="F14" s="124" t="s">
        <v>656</v>
      </c>
      <c r="G14" s="127" t="s">
        <v>46</v>
      </c>
      <c r="H14" s="123" t="s">
        <v>628</v>
      </c>
      <c r="I14" s="126" t="s">
        <v>598</v>
      </c>
      <c r="J14" s="126" t="s">
        <v>659</v>
      </c>
      <c r="K14" s="128" t="s">
        <v>660</v>
      </c>
      <c r="L14" s="121" t="s">
        <v>19</v>
      </c>
      <c r="M14" s="123" t="s">
        <v>661</v>
      </c>
      <c r="N14" s="129">
        <v>42522</v>
      </c>
      <c r="O14" s="129">
        <v>43251</v>
      </c>
      <c r="P14" s="129">
        <v>43251</v>
      </c>
      <c r="Q14" s="144">
        <v>99000</v>
      </c>
      <c r="R14" s="132">
        <v>49500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11">
        <v>49500</v>
      </c>
      <c r="Z14" s="133">
        <f t="shared" si="0"/>
        <v>49500</v>
      </c>
      <c r="AA14" s="133">
        <f t="shared" si="1"/>
        <v>0</v>
      </c>
      <c r="AB14" s="132">
        <v>49500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/>
      <c r="AI14" s="111">
        <v>49500</v>
      </c>
      <c r="AJ14" s="134">
        <f t="shared" si="2"/>
        <v>49500</v>
      </c>
      <c r="AK14" s="134">
        <f t="shared" si="3"/>
        <v>0</v>
      </c>
      <c r="AL14" s="145"/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16">
        <v>0</v>
      </c>
      <c r="AT14" s="134">
        <f t="shared" si="7"/>
        <v>0</v>
      </c>
      <c r="AU14" s="134">
        <f t="shared" si="4"/>
        <v>0</v>
      </c>
      <c r="AV14" s="142"/>
      <c r="AW14" s="146"/>
      <c r="AX14" s="146"/>
      <c r="AY14" s="146"/>
      <c r="AZ14" s="146"/>
      <c r="BA14" s="146"/>
      <c r="BB14" s="116"/>
      <c r="BC14" s="113"/>
      <c r="BD14" s="116"/>
      <c r="BE14" s="113"/>
      <c r="BF14" s="116"/>
      <c r="BG14" s="116"/>
      <c r="BH14" s="137">
        <f t="shared" si="5"/>
        <v>99000</v>
      </c>
      <c r="BI14" s="138">
        <f t="shared" si="6"/>
        <v>0</v>
      </c>
      <c r="BJ14" s="147"/>
      <c r="BK14" s="91"/>
    </row>
    <row r="15" spans="1:63" ht="15.75">
      <c r="A15" s="123">
        <v>501344</v>
      </c>
      <c r="B15" s="126">
        <v>200311</v>
      </c>
      <c r="C15" s="124" t="s">
        <v>664</v>
      </c>
      <c r="D15" s="124" t="s">
        <v>665</v>
      </c>
      <c r="E15" s="125" t="s">
        <v>662</v>
      </c>
      <c r="F15" s="124" t="s">
        <v>663</v>
      </c>
      <c r="G15" s="127" t="s">
        <v>46</v>
      </c>
      <c r="H15" s="126" t="s">
        <v>628</v>
      </c>
      <c r="I15" s="126" t="s">
        <v>598</v>
      </c>
      <c r="J15" s="126" t="s">
        <v>659</v>
      </c>
      <c r="K15" s="128" t="s">
        <v>666</v>
      </c>
      <c r="L15" s="121" t="s">
        <v>515</v>
      </c>
      <c r="M15" s="123" t="s">
        <v>667</v>
      </c>
      <c r="N15" s="129">
        <v>42614</v>
      </c>
      <c r="O15" s="129">
        <v>43708</v>
      </c>
      <c r="P15" s="129">
        <v>43708</v>
      </c>
      <c r="Q15" s="130">
        <v>187500</v>
      </c>
      <c r="R15" s="113"/>
      <c r="S15" s="132">
        <v>23900</v>
      </c>
      <c r="T15" s="132">
        <v>0</v>
      </c>
      <c r="U15" s="132">
        <v>13600</v>
      </c>
      <c r="V15" s="132"/>
      <c r="W15" s="132">
        <v>0</v>
      </c>
      <c r="X15" s="132">
        <v>0</v>
      </c>
      <c r="Y15" s="111">
        <v>37500</v>
      </c>
      <c r="Z15" s="133">
        <f t="shared" si="0"/>
        <v>37500</v>
      </c>
      <c r="AA15" s="133">
        <f t="shared" si="1"/>
        <v>0</v>
      </c>
      <c r="AB15" s="141"/>
      <c r="AC15" s="132">
        <v>47200</v>
      </c>
      <c r="AD15" s="132">
        <v>0</v>
      </c>
      <c r="AE15" s="132">
        <v>27800</v>
      </c>
      <c r="AF15" s="132">
        <v>0</v>
      </c>
      <c r="AG15" s="132">
        <v>0</v>
      </c>
      <c r="AH15" s="132"/>
      <c r="AI15" s="111">
        <v>75000</v>
      </c>
      <c r="AJ15" s="134">
        <f t="shared" si="2"/>
        <v>75000</v>
      </c>
      <c r="AK15" s="134">
        <f t="shared" si="3"/>
        <v>0</v>
      </c>
      <c r="AL15" s="142"/>
      <c r="AM15" s="135">
        <v>46600</v>
      </c>
      <c r="AN15" s="135">
        <v>0</v>
      </c>
      <c r="AO15" s="135">
        <v>28400</v>
      </c>
      <c r="AP15" s="135"/>
      <c r="AQ15" s="135">
        <v>0</v>
      </c>
      <c r="AR15" s="135">
        <v>0</v>
      </c>
      <c r="AS15" s="116">
        <v>75000</v>
      </c>
      <c r="AT15" s="134">
        <f t="shared" si="7"/>
        <v>75000</v>
      </c>
      <c r="AU15" s="134">
        <f t="shared" si="4"/>
        <v>0</v>
      </c>
      <c r="AV15" s="142"/>
      <c r="AW15" s="135"/>
      <c r="AX15" s="135"/>
      <c r="AY15" s="135"/>
      <c r="AZ15" s="135"/>
      <c r="BA15" s="135"/>
      <c r="BB15" s="116"/>
      <c r="BC15" s="113"/>
      <c r="BD15" s="116"/>
      <c r="BE15" s="113"/>
      <c r="BF15" s="116"/>
      <c r="BG15" s="116"/>
      <c r="BH15" s="137">
        <f t="shared" si="5"/>
        <v>187500</v>
      </c>
      <c r="BI15" s="138">
        <f t="shared" si="6"/>
        <v>0</v>
      </c>
      <c r="BJ15" s="126"/>
      <c r="BK15" s="91"/>
    </row>
    <row r="16" spans="1:63" ht="15.75">
      <c r="A16" s="123">
        <v>509703</v>
      </c>
      <c r="B16" s="163">
        <v>200483</v>
      </c>
      <c r="C16" s="170" t="s">
        <v>670</v>
      </c>
      <c r="D16" s="170" t="s">
        <v>671</v>
      </c>
      <c r="E16" s="188" t="s">
        <v>668</v>
      </c>
      <c r="F16" s="163" t="s">
        <v>669</v>
      </c>
      <c r="G16" s="185" t="s">
        <v>68</v>
      </c>
      <c r="H16" s="164" t="s">
        <v>628</v>
      </c>
      <c r="I16" s="163" t="s">
        <v>598</v>
      </c>
      <c r="J16" s="163" t="s">
        <v>672</v>
      </c>
      <c r="K16" s="128" t="s">
        <v>673</v>
      </c>
      <c r="L16" s="121" t="s">
        <v>19</v>
      </c>
      <c r="M16" s="123" t="s">
        <v>674</v>
      </c>
      <c r="N16" s="129">
        <v>44044</v>
      </c>
      <c r="O16" s="129">
        <v>44408</v>
      </c>
      <c r="P16" s="129">
        <v>44408</v>
      </c>
      <c r="Q16" s="130">
        <v>20000</v>
      </c>
      <c r="R16" s="113"/>
      <c r="S16" s="132">
        <v>10000</v>
      </c>
      <c r="T16" s="132">
        <v>0</v>
      </c>
      <c r="U16" s="132">
        <v>10000</v>
      </c>
      <c r="V16" s="132">
        <v>0</v>
      </c>
      <c r="W16" s="132">
        <v>0</v>
      </c>
      <c r="X16" s="132">
        <v>0</v>
      </c>
      <c r="Y16" s="111">
        <v>20000</v>
      </c>
      <c r="Z16" s="133">
        <f t="shared" si="0"/>
        <v>20000</v>
      </c>
      <c r="AA16" s="133">
        <f t="shared" si="1"/>
        <v>0</v>
      </c>
      <c r="AB16" s="141"/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11">
        <v>0</v>
      </c>
      <c r="AJ16" s="134">
        <f>SUM(AB16:AI16)</f>
        <v>0</v>
      </c>
      <c r="AK16" s="134">
        <f t="shared" si="3"/>
        <v>0</v>
      </c>
      <c r="AL16" s="142"/>
      <c r="AM16" s="132">
        <v>0</v>
      </c>
      <c r="AN16" s="132">
        <v>0</v>
      </c>
      <c r="AO16" s="132">
        <v>0</v>
      </c>
      <c r="AP16" s="132">
        <v>0</v>
      </c>
      <c r="AQ16" s="132">
        <v>0</v>
      </c>
      <c r="AR16" s="132">
        <v>0</v>
      </c>
      <c r="AS16" s="116">
        <v>0</v>
      </c>
      <c r="AT16" s="134">
        <f t="shared" si="7"/>
        <v>0</v>
      </c>
      <c r="AU16" s="134">
        <f t="shared" si="4"/>
        <v>0</v>
      </c>
      <c r="AV16" s="142"/>
      <c r="AW16" s="135"/>
      <c r="AX16" s="135"/>
      <c r="AY16" s="135"/>
      <c r="AZ16" s="135"/>
      <c r="BA16" s="135"/>
      <c r="BB16" s="116"/>
      <c r="BC16" s="113"/>
      <c r="BD16" s="116"/>
      <c r="BE16" s="113"/>
      <c r="BF16" s="116"/>
      <c r="BG16" s="116"/>
      <c r="BH16" s="137">
        <f t="shared" si="5"/>
        <v>20000</v>
      </c>
      <c r="BI16" s="138">
        <f t="shared" si="6"/>
        <v>0</v>
      </c>
      <c r="BJ16" s="126"/>
      <c r="BK16" s="91"/>
    </row>
    <row r="17" spans="1:63" ht="15.75">
      <c r="A17" s="123">
        <v>506472</v>
      </c>
      <c r="B17" s="126">
        <v>200612</v>
      </c>
      <c r="C17" s="124" t="s">
        <v>677</v>
      </c>
      <c r="D17" s="124" t="s">
        <v>678</v>
      </c>
      <c r="E17" s="125" t="s">
        <v>675</v>
      </c>
      <c r="F17" s="124" t="s">
        <v>676</v>
      </c>
      <c r="G17" s="127" t="s">
        <v>53</v>
      </c>
      <c r="H17" s="126" t="s">
        <v>597</v>
      </c>
      <c r="I17" s="126" t="s">
        <v>598</v>
      </c>
      <c r="J17" s="126" t="s">
        <v>650</v>
      </c>
      <c r="K17" s="128" t="s">
        <v>630</v>
      </c>
      <c r="L17" s="121" t="s">
        <v>19</v>
      </c>
      <c r="M17" s="123" t="s">
        <v>631</v>
      </c>
      <c r="N17" s="129">
        <v>43556</v>
      </c>
      <c r="O17" s="129">
        <v>43982</v>
      </c>
      <c r="P17" s="129">
        <v>44286</v>
      </c>
      <c r="Q17" s="130">
        <v>21934</v>
      </c>
      <c r="R17" s="113"/>
      <c r="S17" s="132">
        <v>17500</v>
      </c>
      <c r="T17" s="132">
        <v>0</v>
      </c>
      <c r="U17" s="132">
        <v>4434</v>
      </c>
      <c r="V17" s="132">
        <v>0</v>
      </c>
      <c r="W17" s="132">
        <v>0</v>
      </c>
      <c r="X17" s="132">
        <v>0</v>
      </c>
      <c r="Y17" s="111">
        <v>21934</v>
      </c>
      <c r="Z17" s="133">
        <f t="shared" si="0"/>
        <v>21934</v>
      </c>
      <c r="AA17" s="133">
        <f t="shared" si="1"/>
        <v>0</v>
      </c>
      <c r="AB17" s="141"/>
      <c r="AC17" s="132" t="s">
        <v>602</v>
      </c>
      <c r="AD17" s="132" t="s">
        <v>602</v>
      </c>
      <c r="AE17" s="132" t="s">
        <v>602</v>
      </c>
      <c r="AF17" s="132" t="s">
        <v>602</v>
      </c>
      <c r="AG17" s="132" t="s">
        <v>602</v>
      </c>
      <c r="AH17" s="132"/>
      <c r="AI17" s="111"/>
      <c r="AJ17" s="134">
        <f t="shared" ref="AJ17:AJ80" si="8">SUM(AB17:AH17)</f>
        <v>0</v>
      </c>
      <c r="AK17" s="134">
        <f t="shared" si="3"/>
        <v>0</v>
      </c>
      <c r="AL17" s="145"/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16"/>
      <c r="AT17" s="134">
        <f t="shared" si="7"/>
        <v>0</v>
      </c>
      <c r="AU17" s="134">
        <f t="shared" si="4"/>
        <v>0</v>
      </c>
      <c r="AV17" s="142"/>
      <c r="AW17" s="135"/>
      <c r="AX17" s="135"/>
      <c r="AY17" s="135"/>
      <c r="AZ17" s="135"/>
      <c r="BA17" s="135"/>
      <c r="BB17" s="116"/>
      <c r="BC17" s="113"/>
      <c r="BD17" s="116"/>
      <c r="BE17" s="113"/>
      <c r="BF17" s="116"/>
      <c r="BG17" s="116"/>
      <c r="BH17" s="137">
        <f t="shared" si="5"/>
        <v>21934</v>
      </c>
      <c r="BI17" s="138">
        <f t="shared" si="6"/>
        <v>0</v>
      </c>
      <c r="BJ17" s="126" t="s">
        <v>679</v>
      </c>
      <c r="BK17" s="91"/>
    </row>
    <row r="18" spans="1:63" ht="15.75">
      <c r="A18" s="123">
        <v>500461</v>
      </c>
      <c r="B18" s="126">
        <v>200775</v>
      </c>
      <c r="C18" s="124" t="s">
        <v>689</v>
      </c>
      <c r="D18" s="124" t="s">
        <v>690</v>
      </c>
      <c r="E18" s="125" t="s">
        <v>687</v>
      </c>
      <c r="F18" s="124" t="s">
        <v>688</v>
      </c>
      <c r="G18" s="127" t="s">
        <v>53</v>
      </c>
      <c r="H18" s="126" t="s">
        <v>597</v>
      </c>
      <c r="I18" s="126" t="s">
        <v>598</v>
      </c>
      <c r="J18" s="126" t="s">
        <v>683</v>
      </c>
      <c r="K18" s="126" t="s">
        <v>684</v>
      </c>
      <c r="L18" s="121" t="s">
        <v>652</v>
      </c>
      <c r="M18" s="123" t="s">
        <v>638</v>
      </c>
      <c r="N18" s="129">
        <v>42339</v>
      </c>
      <c r="O18" s="129">
        <v>42551</v>
      </c>
      <c r="P18" s="129">
        <v>42580</v>
      </c>
      <c r="Q18" s="130">
        <v>24994</v>
      </c>
      <c r="R18" s="113"/>
      <c r="S18" s="132">
        <v>24994</v>
      </c>
      <c r="T18" s="132">
        <v>0</v>
      </c>
      <c r="U18" s="132">
        <v>0</v>
      </c>
      <c r="V18" s="132"/>
      <c r="W18" s="132">
        <v>0</v>
      </c>
      <c r="X18" s="132">
        <v>0</v>
      </c>
      <c r="Y18" s="111">
        <v>24994</v>
      </c>
      <c r="Z18" s="133">
        <f t="shared" si="0"/>
        <v>24994</v>
      </c>
      <c r="AA18" s="133">
        <f t="shared" si="1"/>
        <v>0</v>
      </c>
      <c r="AB18" s="141"/>
      <c r="AC18" s="132" t="s">
        <v>602</v>
      </c>
      <c r="AD18" s="132" t="s">
        <v>602</v>
      </c>
      <c r="AE18" s="132" t="s">
        <v>602</v>
      </c>
      <c r="AF18" s="132" t="s">
        <v>602</v>
      </c>
      <c r="AG18" s="132" t="s">
        <v>602</v>
      </c>
      <c r="AH18" s="132"/>
      <c r="AI18" s="111">
        <v>0</v>
      </c>
      <c r="AJ18" s="134">
        <f t="shared" si="8"/>
        <v>0</v>
      </c>
      <c r="AK18" s="134">
        <f t="shared" si="3"/>
        <v>0</v>
      </c>
      <c r="AL18" s="142"/>
      <c r="AM18" s="132" t="s">
        <v>602</v>
      </c>
      <c r="AN18" s="132" t="s">
        <v>602</v>
      </c>
      <c r="AO18" s="132" t="s">
        <v>602</v>
      </c>
      <c r="AP18" s="132" t="s">
        <v>602</v>
      </c>
      <c r="AQ18" s="132" t="s">
        <v>602</v>
      </c>
      <c r="AR18" s="135" t="s">
        <v>602</v>
      </c>
      <c r="AS18" s="116">
        <v>0</v>
      </c>
      <c r="AT18" s="134">
        <f t="shared" si="7"/>
        <v>0</v>
      </c>
      <c r="AU18" s="134">
        <f t="shared" si="4"/>
        <v>0</v>
      </c>
      <c r="AV18" s="142"/>
      <c r="AW18" s="135"/>
      <c r="AX18" s="135"/>
      <c r="AY18" s="135"/>
      <c r="AZ18" s="135"/>
      <c r="BA18" s="135"/>
      <c r="BB18" s="116"/>
      <c r="BC18" s="113"/>
      <c r="BD18" s="116"/>
      <c r="BE18" s="113"/>
      <c r="BF18" s="116"/>
      <c r="BG18" s="116"/>
      <c r="BH18" s="137">
        <f t="shared" si="5"/>
        <v>24994</v>
      </c>
      <c r="BI18" s="138">
        <f t="shared" si="6"/>
        <v>0</v>
      </c>
      <c r="BJ18" s="126" t="s">
        <v>691</v>
      </c>
      <c r="BK18" s="91"/>
    </row>
    <row r="19" spans="1:63" ht="15.75">
      <c r="A19" s="123">
        <v>501340</v>
      </c>
      <c r="B19" s="126">
        <v>200821</v>
      </c>
      <c r="C19" s="121" t="s">
        <v>694</v>
      </c>
      <c r="D19" s="121" t="s">
        <v>695</v>
      </c>
      <c r="E19" s="125" t="s">
        <v>692</v>
      </c>
      <c r="F19" s="124" t="s">
        <v>693</v>
      </c>
      <c r="G19" s="127" t="s">
        <v>46</v>
      </c>
      <c r="H19" s="126" t="s">
        <v>628</v>
      </c>
      <c r="I19" s="126" t="s">
        <v>598</v>
      </c>
      <c r="J19" s="126" t="s">
        <v>696</v>
      </c>
      <c r="K19" s="128" t="s">
        <v>697</v>
      </c>
      <c r="L19" s="124" t="s">
        <v>515</v>
      </c>
      <c r="M19" s="126" t="s">
        <v>698</v>
      </c>
      <c r="N19" s="129">
        <v>42614</v>
      </c>
      <c r="O19" s="129">
        <v>43708</v>
      </c>
      <c r="P19" s="129">
        <v>43708</v>
      </c>
      <c r="Q19" s="144">
        <v>300000</v>
      </c>
      <c r="R19" s="150"/>
      <c r="S19" s="132">
        <v>50000</v>
      </c>
      <c r="T19" s="132">
        <v>0</v>
      </c>
      <c r="U19" s="132">
        <v>50000</v>
      </c>
      <c r="V19" s="132"/>
      <c r="W19" s="132">
        <v>0</v>
      </c>
      <c r="X19" s="132">
        <v>0</v>
      </c>
      <c r="Y19" s="111">
        <v>100000</v>
      </c>
      <c r="Z19" s="133">
        <f t="shared" si="0"/>
        <v>100000</v>
      </c>
      <c r="AA19" s="133">
        <f t="shared" si="1"/>
        <v>0</v>
      </c>
      <c r="AB19" s="141"/>
      <c r="AC19" s="132">
        <v>50000</v>
      </c>
      <c r="AD19" s="132">
        <v>0</v>
      </c>
      <c r="AE19" s="132">
        <v>50000</v>
      </c>
      <c r="AF19" s="132">
        <v>0</v>
      </c>
      <c r="AG19" s="132">
        <v>0</v>
      </c>
      <c r="AH19" s="132"/>
      <c r="AI19" s="111">
        <v>100000</v>
      </c>
      <c r="AJ19" s="134">
        <f t="shared" si="8"/>
        <v>100000</v>
      </c>
      <c r="AK19" s="134">
        <f t="shared" si="3"/>
        <v>0</v>
      </c>
      <c r="AL19" s="142"/>
      <c r="AM19" s="135">
        <v>50000</v>
      </c>
      <c r="AN19" s="135">
        <v>0</v>
      </c>
      <c r="AO19" s="135">
        <v>50000</v>
      </c>
      <c r="AP19" s="135"/>
      <c r="AQ19" s="135">
        <v>0</v>
      </c>
      <c r="AR19" s="135">
        <v>0</v>
      </c>
      <c r="AS19" s="116">
        <v>100000</v>
      </c>
      <c r="AT19" s="134">
        <f t="shared" si="7"/>
        <v>100000</v>
      </c>
      <c r="AU19" s="134">
        <f t="shared" si="4"/>
        <v>0</v>
      </c>
      <c r="AV19" s="142"/>
      <c r="AW19" s="135"/>
      <c r="AX19" s="135"/>
      <c r="AY19" s="135"/>
      <c r="AZ19" s="135"/>
      <c r="BA19" s="135"/>
      <c r="BB19" s="116"/>
      <c r="BC19" s="113"/>
      <c r="BD19" s="116"/>
      <c r="BE19" s="113"/>
      <c r="BF19" s="116"/>
      <c r="BG19" s="116"/>
      <c r="BH19" s="137">
        <f t="shared" si="5"/>
        <v>300000</v>
      </c>
      <c r="BI19" s="138">
        <f t="shared" si="6"/>
        <v>0</v>
      </c>
      <c r="BJ19" s="147"/>
      <c r="BK19" s="91"/>
    </row>
    <row r="20" spans="1:63" ht="15.75">
      <c r="A20" s="123">
        <v>499903</v>
      </c>
      <c r="B20" s="126">
        <v>201921</v>
      </c>
      <c r="C20" s="124" t="s">
        <v>708</v>
      </c>
      <c r="D20" s="124" t="s">
        <v>709</v>
      </c>
      <c r="E20" s="125" t="s">
        <v>707</v>
      </c>
      <c r="F20" s="124" t="s">
        <v>120</v>
      </c>
      <c r="G20" s="127" t="s">
        <v>46</v>
      </c>
      <c r="H20" s="126" t="s">
        <v>597</v>
      </c>
      <c r="I20" s="126" t="s">
        <v>609</v>
      </c>
      <c r="J20" s="126" t="s">
        <v>710</v>
      </c>
      <c r="K20" s="128" t="s">
        <v>711</v>
      </c>
      <c r="L20" s="121" t="s">
        <v>637</v>
      </c>
      <c r="M20" s="123" t="s">
        <v>638</v>
      </c>
      <c r="N20" s="129">
        <v>42248</v>
      </c>
      <c r="O20" s="129">
        <v>42643</v>
      </c>
      <c r="P20" s="129">
        <v>42668</v>
      </c>
      <c r="Q20" s="130">
        <v>166666</v>
      </c>
      <c r="R20" s="132">
        <v>90000</v>
      </c>
      <c r="S20" s="132"/>
      <c r="T20" s="132">
        <v>0</v>
      </c>
      <c r="U20" s="132">
        <v>0</v>
      </c>
      <c r="V20" s="132"/>
      <c r="W20" s="132">
        <v>0</v>
      </c>
      <c r="X20" s="132">
        <v>76666</v>
      </c>
      <c r="Y20" s="111">
        <v>166666</v>
      </c>
      <c r="Z20" s="133">
        <f t="shared" si="0"/>
        <v>166666</v>
      </c>
      <c r="AA20" s="133">
        <f t="shared" si="1"/>
        <v>0</v>
      </c>
      <c r="AB20" s="141"/>
      <c r="AC20" s="132" t="s">
        <v>602</v>
      </c>
      <c r="AD20" s="132" t="s">
        <v>602</v>
      </c>
      <c r="AE20" s="132" t="s">
        <v>602</v>
      </c>
      <c r="AF20" s="132" t="s">
        <v>602</v>
      </c>
      <c r="AG20" s="132" t="s">
        <v>602</v>
      </c>
      <c r="AH20" s="132"/>
      <c r="AI20" s="111">
        <v>0</v>
      </c>
      <c r="AJ20" s="134">
        <f t="shared" si="8"/>
        <v>0</v>
      </c>
      <c r="AK20" s="134">
        <f t="shared" si="3"/>
        <v>0</v>
      </c>
      <c r="AL20" s="142"/>
      <c r="AM20" s="132" t="s">
        <v>602</v>
      </c>
      <c r="AN20" s="132" t="s">
        <v>602</v>
      </c>
      <c r="AO20" s="132" t="s">
        <v>602</v>
      </c>
      <c r="AP20" s="132" t="s">
        <v>602</v>
      </c>
      <c r="AQ20" s="132" t="s">
        <v>602</v>
      </c>
      <c r="AR20" s="135" t="s">
        <v>602</v>
      </c>
      <c r="AS20" s="116">
        <v>0</v>
      </c>
      <c r="AT20" s="134">
        <f t="shared" si="7"/>
        <v>0</v>
      </c>
      <c r="AU20" s="134">
        <f t="shared" si="4"/>
        <v>0</v>
      </c>
      <c r="AV20" s="142"/>
      <c r="AW20" s="132" t="s">
        <v>602</v>
      </c>
      <c r="AX20" s="132" t="s">
        <v>602</v>
      </c>
      <c r="AY20" s="132" t="s">
        <v>602</v>
      </c>
      <c r="AZ20" s="132" t="s">
        <v>602</v>
      </c>
      <c r="BA20" s="132" t="s">
        <v>602</v>
      </c>
      <c r="BB20" s="116"/>
      <c r="BC20" s="113"/>
      <c r="BD20" s="116"/>
      <c r="BE20" s="113"/>
      <c r="BF20" s="116"/>
      <c r="BG20" s="116"/>
      <c r="BH20" s="137">
        <f t="shared" si="5"/>
        <v>166666</v>
      </c>
      <c r="BI20" s="138">
        <f t="shared" si="6"/>
        <v>0</v>
      </c>
      <c r="BJ20" s="126"/>
      <c r="BK20" s="91"/>
    </row>
    <row r="21" spans="1:63" ht="15.75">
      <c r="A21" s="123">
        <v>501336</v>
      </c>
      <c r="B21" s="126">
        <v>201921</v>
      </c>
      <c r="C21" s="124" t="s">
        <v>708</v>
      </c>
      <c r="D21" s="124" t="s">
        <v>709</v>
      </c>
      <c r="E21" s="125" t="s">
        <v>707</v>
      </c>
      <c r="F21" s="124" t="s">
        <v>120</v>
      </c>
      <c r="G21" s="127" t="s">
        <v>46</v>
      </c>
      <c r="H21" s="126" t="s">
        <v>628</v>
      </c>
      <c r="I21" s="126" t="s">
        <v>609</v>
      </c>
      <c r="J21" s="126" t="s">
        <v>710</v>
      </c>
      <c r="K21" s="128" t="s">
        <v>711</v>
      </c>
      <c r="L21" s="121" t="s">
        <v>515</v>
      </c>
      <c r="M21" s="123" t="s">
        <v>712</v>
      </c>
      <c r="N21" s="129">
        <v>42614</v>
      </c>
      <c r="O21" s="129">
        <v>43708</v>
      </c>
      <c r="P21" s="129">
        <v>44145</v>
      </c>
      <c r="Q21" s="130">
        <v>255000</v>
      </c>
      <c r="R21" s="113"/>
      <c r="S21" s="132">
        <v>49500</v>
      </c>
      <c r="T21" s="132">
        <v>0</v>
      </c>
      <c r="U21" s="132">
        <v>25500</v>
      </c>
      <c r="V21" s="132"/>
      <c r="W21" s="132">
        <v>10000</v>
      </c>
      <c r="X21" s="132">
        <v>0</v>
      </c>
      <c r="Y21" s="111">
        <v>85000</v>
      </c>
      <c r="Z21" s="133">
        <f t="shared" si="0"/>
        <v>85000</v>
      </c>
      <c r="AA21" s="133">
        <f t="shared" si="1"/>
        <v>0</v>
      </c>
      <c r="AB21" s="141"/>
      <c r="AC21" s="132">
        <v>49500</v>
      </c>
      <c r="AD21" s="132">
        <v>0</v>
      </c>
      <c r="AE21" s="132">
        <v>25500</v>
      </c>
      <c r="AF21" s="132">
        <v>10000</v>
      </c>
      <c r="AG21" s="132">
        <v>0</v>
      </c>
      <c r="AH21" s="132"/>
      <c r="AI21" s="111">
        <v>85000</v>
      </c>
      <c r="AJ21" s="134">
        <f t="shared" si="8"/>
        <v>85000</v>
      </c>
      <c r="AK21" s="134">
        <f t="shared" si="3"/>
        <v>0</v>
      </c>
      <c r="AL21" s="142"/>
      <c r="AM21" s="135">
        <v>49500</v>
      </c>
      <c r="AN21" s="135">
        <v>0</v>
      </c>
      <c r="AO21" s="135">
        <v>25500</v>
      </c>
      <c r="AP21" s="135"/>
      <c r="AQ21" s="135">
        <v>10000</v>
      </c>
      <c r="AR21" s="135">
        <v>0</v>
      </c>
      <c r="AS21" s="116">
        <v>85000</v>
      </c>
      <c r="AT21" s="134">
        <f t="shared" si="7"/>
        <v>85000</v>
      </c>
      <c r="AU21" s="134">
        <f t="shared" si="4"/>
        <v>0</v>
      </c>
      <c r="AV21" s="142"/>
      <c r="AW21" s="135"/>
      <c r="AX21" s="135"/>
      <c r="AY21" s="135"/>
      <c r="AZ21" s="135"/>
      <c r="BA21" s="135"/>
      <c r="BB21" s="116"/>
      <c r="BC21" s="113"/>
      <c r="BD21" s="116"/>
      <c r="BE21" s="113"/>
      <c r="BF21" s="116"/>
      <c r="BG21" s="116"/>
      <c r="BH21" s="137">
        <f t="shared" si="5"/>
        <v>255000</v>
      </c>
      <c r="BI21" s="138">
        <f t="shared" si="6"/>
        <v>0</v>
      </c>
      <c r="BJ21" s="126"/>
      <c r="BK21" s="91"/>
    </row>
    <row r="22" spans="1:63" ht="15.75">
      <c r="A22" s="123">
        <v>501341</v>
      </c>
      <c r="B22" s="126">
        <v>201921</v>
      </c>
      <c r="C22" s="124" t="s">
        <v>708</v>
      </c>
      <c r="D22" s="124" t="s">
        <v>709</v>
      </c>
      <c r="E22" s="125" t="s">
        <v>707</v>
      </c>
      <c r="F22" s="124" t="s">
        <v>120</v>
      </c>
      <c r="G22" s="127" t="s">
        <v>46</v>
      </c>
      <c r="H22" s="126" t="s">
        <v>628</v>
      </c>
      <c r="I22" s="126" t="s">
        <v>609</v>
      </c>
      <c r="J22" s="126" t="s">
        <v>710</v>
      </c>
      <c r="K22" s="128" t="s">
        <v>711</v>
      </c>
      <c r="L22" s="121" t="s">
        <v>515</v>
      </c>
      <c r="M22" s="123" t="s">
        <v>713</v>
      </c>
      <c r="N22" s="129">
        <v>42614</v>
      </c>
      <c r="O22" s="129">
        <v>43708</v>
      </c>
      <c r="P22" s="129">
        <v>44145</v>
      </c>
      <c r="Q22" s="130">
        <v>327923</v>
      </c>
      <c r="R22" s="113"/>
      <c r="S22" s="132">
        <v>50000</v>
      </c>
      <c r="T22" s="132">
        <v>0</v>
      </c>
      <c r="U22" s="132">
        <v>49511</v>
      </c>
      <c r="V22" s="132"/>
      <c r="W22" s="132">
        <v>13946</v>
      </c>
      <c r="X22" s="132">
        <v>0</v>
      </c>
      <c r="Y22" s="111">
        <v>113457</v>
      </c>
      <c r="Z22" s="133">
        <f t="shared" si="0"/>
        <v>113457</v>
      </c>
      <c r="AA22" s="133">
        <f t="shared" si="1"/>
        <v>0</v>
      </c>
      <c r="AB22" s="141"/>
      <c r="AC22" s="132">
        <v>97494.36</v>
      </c>
      <c r="AD22" s="132">
        <v>0</v>
      </c>
      <c r="AE22" s="132">
        <v>6582</v>
      </c>
      <c r="AF22" s="132"/>
      <c r="AG22" s="132">
        <v>9380.64</v>
      </c>
      <c r="AH22" s="132"/>
      <c r="AI22" s="111">
        <v>113457</v>
      </c>
      <c r="AJ22" s="134">
        <f t="shared" si="8"/>
        <v>113457</v>
      </c>
      <c r="AK22" s="134">
        <f t="shared" si="3"/>
        <v>0</v>
      </c>
      <c r="AL22" s="142"/>
      <c r="AM22" s="135">
        <v>61000</v>
      </c>
      <c r="AN22" s="135">
        <v>0</v>
      </c>
      <c r="AO22" s="135">
        <v>35063</v>
      </c>
      <c r="AP22" s="135"/>
      <c r="AQ22" s="135">
        <v>4946</v>
      </c>
      <c r="AR22" s="135">
        <v>0</v>
      </c>
      <c r="AS22" s="116">
        <v>101009</v>
      </c>
      <c r="AT22" s="134">
        <f t="shared" si="7"/>
        <v>101009</v>
      </c>
      <c r="AU22" s="134">
        <f t="shared" si="4"/>
        <v>0</v>
      </c>
      <c r="AV22" s="142"/>
      <c r="AW22" s="135"/>
      <c r="AX22" s="135"/>
      <c r="AY22" s="135"/>
      <c r="AZ22" s="135"/>
      <c r="BA22" s="135"/>
      <c r="BB22" s="116"/>
      <c r="BC22" s="113"/>
      <c r="BD22" s="116"/>
      <c r="BE22" s="113"/>
      <c r="BF22" s="116"/>
      <c r="BG22" s="116"/>
      <c r="BH22" s="137">
        <f t="shared" si="5"/>
        <v>327923</v>
      </c>
      <c r="BI22" s="138">
        <f t="shared" si="6"/>
        <v>0</v>
      </c>
      <c r="BJ22" s="126"/>
      <c r="BK22" s="91"/>
    </row>
    <row r="23" spans="1:63" ht="15.75">
      <c r="A23" s="123">
        <v>501345</v>
      </c>
      <c r="B23" s="126">
        <v>201921</v>
      </c>
      <c r="C23" s="124" t="s">
        <v>708</v>
      </c>
      <c r="D23" s="124" t="s">
        <v>709</v>
      </c>
      <c r="E23" s="125" t="s">
        <v>707</v>
      </c>
      <c r="F23" s="124" t="s">
        <v>120</v>
      </c>
      <c r="G23" s="127" t="s">
        <v>46</v>
      </c>
      <c r="H23" s="126" t="s">
        <v>597</v>
      </c>
      <c r="I23" s="126" t="s">
        <v>609</v>
      </c>
      <c r="J23" s="126" t="s">
        <v>710</v>
      </c>
      <c r="K23" s="128" t="s">
        <v>711</v>
      </c>
      <c r="L23" s="121" t="s">
        <v>515</v>
      </c>
      <c r="M23" s="123" t="s">
        <v>714</v>
      </c>
      <c r="N23" s="129">
        <v>42614</v>
      </c>
      <c r="O23" s="129">
        <v>43890</v>
      </c>
      <c r="P23" s="129">
        <v>44145</v>
      </c>
      <c r="Q23" s="130">
        <v>466364</v>
      </c>
      <c r="R23" s="113"/>
      <c r="S23" s="132">
        <v>91000</v>
      </c>
      <c r="T23" s="132">
        <v>0</v>
      </c>
      <c r="U23" s="132">
        <v>29500</v>
      </c>
      <c r="V23" s="132"/>
      <c r="W23" s="132">
        <v>16293</v>
      </c>
      <c r="X23" s="132">
        <v>15000</v>
      </c>
      <c r="Y23" s="111">
        <v>151793</v>
      </c>
      <c r="Z23" s="133">
        <f t="shared" si="0"/>
        <v>151793</v>
      </c>
      <c r="AA23" s="133">
        <f t="shared" si="1"/>
        <v>0</v>
      </c>
      <c r="AB23" s="141"/>
      <c r="AC23" s="132">
        <v>97000</v>
      </c>
      <c r="AD23" s="132">
        <v>0</v>
      </c>
      <c r="AE23" s="132">
        <v>27000</v>
      </c>
      <c r="AF23" s="132">
        <v>9709</v>
      </c>
      <c r="AG23" s="132">
        <v>0</v>
      </c>
      <c r="AH23" s="132"/>
      <c r="AI23" s="111">
        <v>133709</v>
      </c>
      <c r="AJ23" s="134">
        <f t="shared" si="8"/>
        <v>133709</v>
      </c>
      <c r="AK23" s="134">
        <f t="shared" si="3"/>
        <v>0</v>
      </c>
      <c r="AL23" s="142"/>
      <c r="AM23" s="135">
        <v>100443</v>
      </c>
      <c r="AN23" s="135">
        <v>0</v>
      </c>
      <c r="AO23" s="135">
        <v>50175</v>
      </c>
      <c r="AP23" s="135"/>
      <c r="AQ23" s="135">
        <v>30244</v>
      </c>
      <c r="AR23" s="135">
        <v>0</v>
      </c>
      <c r="AS23" s="116">
        <v>180862</v>
      </c>
      <c r="AT23" s="134">
        <f t="shared" si="7"/>
        <v>180862</v>
      </c>
      <c r="AU23" s="134">
        <f t="shared" si="4"/>
        <v>0</v>
      </c>
      <c r="AV23" s="142"/>
      <c r="AW23" s="135"/>
      <c r="AX23" s="135"/>
      <c r="AY23" s="135"/>
      <c r="AZ23" s="135"/>
      <c r="BA23" s="135"/>
      <c r="BB23" s="116"/>
      <c r="BC23" s="113"/>
      <c r="BD23" s="116"/>
      <c r="BE23" s="113"/>
      <c r="BF23" s="116"/>
      <c r="BG23" s="116"/>
      <c r="BH23" s="137">
        <f t="shared" si="5"/>
        <v>466364</v>
      </c>
      <c r="BI23" s="138">
        <f t="shared" si="6"/>
        <v>0</v>
      </c>
      <c r="BJ23" s="126" t="s">
        <v>715</v>
      </c>
      <c r="BK23" s="91"/>
    </row>
    <row r="24" spans="1:63" ht="15.75">
      <c r="A24" s="123">
        <v>507643</v>
      </c>
      <c r="B24" s="126">
        <v>201921</v>
      </c>
      <c r="C24" s="124" t="s">
        <v>708</v>
      </c>
      <c r="D24" s="124" t="s">
        <v>709</v>
      </c>
      <c r="E24" s="125" t="s">
        <v>707</v>
      </c>
      <c r="F24" s="124" t="s">
        <v>120</v>
      </c>
      <c r="G24" s="127" t="s">
        <v>46</v>
      </c>
      <c r="H24" s="126" t="s">
        <v>597</v>
      </c>
      <c r="I24" s="126" t="s">
        <v>609</v>
      </c>
      <c r="J24" s="126" t="s">
        <v>710</v>
      </c>
      <c r="K24" s="128" t="s">
        <v>711</v>
      </c>
      <c r="L24" s="121" t="s">
        <v>519</v>
      </c>
      <c r="M24" s="123" t="s">
        <v>716</v>
      </c>
      <c r="N24" s="129">
        <v>43709</v>
      </c>
      <c r="O24" s="129">
        <v>44530</v>
      </c>
      <c r="P24" s="129">
        <v>44530</v>
      </c>
      <c r="Q24" s="130">
        <f>80000+80000</f>
        <v>160000</v>
      </c>
      <c r="R24" s="113"/>
      <c r="S24" s="132">
        <v>45000</v>
      </c>
      <c r="T24" s="132"/>
      <c r="U24" s="132">
        <v>35000</v>
      </c>
      <c r="V24" s="132"/>
      <c r="W24" s="132"/>
      <c r="X24" s="132"/>
      <c r="Y24" s="111">
        <v>80000</v>
      </c>
      <c r="Z24" s="133">
        <f t="shared" si="0"/>
        <v>80000</v>
      </c>
      <c r="AA24" s="133">
        <f t="shared" si="1"/>
        <v>0</v>
      </c>
      <c r="AB24" s="141"/>
      <c r="AC24" s="132">
        <v>45000</v>
      </c>
      <c r="AD24" s="132"/>
      <c r="AE24" s="132">
        <v>35000</v>
      </c>
      <c r="AF24" s="132"/>
      <c r="AG24" s="132"/>
      <c r="AH24" s="132"/>
      <c r="AI24" s="111">
        <v>80000</v>
      </c>
      <c r="AJ24" s="134">
        <f t="shared" si="8"/>
        <v>80000</v>
      </c>
      <c r="AK24" s="134">
        <f t="shared" si="3"/>
        <v>0</v>
      </c>
      <c r="AL24" s="142"/>
      <c r="AM24" s="132">
        <v>45000</v>
      </c>
      <c r="AN24" s="132"/>
      <c r="AO24" s="132">
        <v>35000</v>
      </c>
      <c r="AP24" s="132"/>
      <c r="AQ24" s="132"/>
      <c r="AR24" s="132"/>
      <c r="AS24" s="116">
        <f>SUM(AM24:AR24)</f>
        <v>80000</v>
      </c>
      <c r="AT24" s="134">
        <f t="shared" si="7"/>
        <v>80000</v>
      </c>
      <c r="AU24" s="134">
        <f t="shared" si="4"/>
        <v>0</v>
      </c>
      <c r="AV24" s="142"/>
      <c r="AW24" s="135"/>
      <c r="AX24" s="135"/>
      <c r="AY24" s="135"/>
      <c r="AZ24" s="135"/>
      <c r="BA24" s="135"/>
      <c r="BB24" s="116"/>
      <c r="BC24" s="113"/>
      <c r="BD24" s="116"/>
      <c r="BE24" s="113"/>
      <c r="BF24" s="116"/>
      <c r="BG24" s="116"/>
      <c r="BH24" s="137">
        <f t="shared" si="5"/>
        <v>240000</v>
      </c>
      <c r="BI24" s="138">
        <f t="shared" si="6"/>
        <v>80000</v>
      </c>
      <c r="BJ24" s="126"/>
      <c r="BK24" s="91"/>
    </row>
    <row r="25" spans="1:63" ht="15.75">
      <c r="A25" s="123">
        <v>507693</v>
      </c>
      <c r="B25" s="126">
        <v>201921</v>
      </c>
      <c r="C25" s="124" t="s">
        <v>708</v>
      </c>
      <c r="D25" s="124" t="s">
        <v>709</v>
      </c>
      <c r="E25" s="125" t="s">
        <v>707</v>
      </c>
      <c r="F25" s="124" t="s">
        <v>120</v>
      </c>
      <c r="G25" s="127" t="s">
        <v>46</v>
      </c>
      <c r="H25" s="126" t="s">
        <v>628</v>
      </c>
      <c r="I25" s="126" t="s">
        <v>609</v>
      </c>
      <c r="J25" s="126" t="s">
        <v>710</v>
      </c>
      <c r="K25" s="128" t="s">
        <v>711</v>
      </c>
      <c r="L25" s="121" t="s">
        <v>519</v>
      </c>
      <c r="M25" s="123" t="s">
        <v>717</v>
      </c>
      <c r="N25" s="129">
        <v>43709</v>
      </c>
      <c r="O25" s="129">
        <v>44530</v>
      </c>
      <c r="P25" s="129">
        <v>44530</v>
      </c>
      <c r="Q25" s="130">
        <f>66900+66900</f>
        <v>133800</v>
      </c>
      <c r="R25" s="113"/>
      <c r="S25" s="132">
        <v>50000</v>
      </c>
      <c r="T25" s="132"/>
      <c r="U25" s="132">
        <v>16900</v>
      </c>
      <c r="V25" s="132"/>
      <c r="W25" s="132"/>
      <c r="X25" s="132"/>
      <c r="Y25" s="111">
        <v>66900</v>
      </c>
      <c r="Z25" s="133">
        <f t="shared" si="0"/>
        <v>66900</v>
      </c>
      <c r="AA25" s="133">
        <f t="shared" si="1"/>
        <v>0</v>
      </c>
      <c r="AB25" s="141"/>
      <c r="AC25" s="132">
        <v>50000</v>
      </c>
      <c r="AD25" s="132"/>
      <c r="AE25" s="132">
        <v>16900</v>
      </c>
      <c r="AF25" s="132"/>
      <c r="AG25" s="132"/>
      <c r="AH25" s="132"/>
      <c r="AI25" s="111">
        <v>66900</v>
      </c>
      <c r="AJ25" s="134">
        <f t="shared" si="8"/>
        <v>66900</v>
      </c>
      <c r="AK25" s="134">
        <f t="shared" si="3"/>
        <v>0</v>
      </c>
      <c r="AL25" s="142"/>
      <c r="AM25" s="132">
        <v>50000</v>
      </c>
      <c r="AN25" s="132"/>
      <c r="AO25" s="132">
        <v>16900</v>
      </c>
      <c r="AP25" s="132"/>
      <c r="AQ25" s="132"/>
      <c r="AR25" s="135"/>
      <c r="AS25" s="116">
        <f>SUM(AM25:AR25)</f>
        <v>66900</v>
      </c>
      <c r="AT25" s="134">
        <f t="shared" si="7"/>
        <v>66900</v>
      </c>
      <c r="AU25" s="134">
        <f t="shared" si="4"/>
        <v>0</v>
      </c>
      <c r="AV25" s="142"/>
      <c r="AW25" s="135"/>
      <c r="AX25" s="135"/>
      <c r="AY25" s="135"/>
      <c r="AZ25" s="135"/>
      <c r="BA25" s="135"/>
      <c r="BB25" s="116"/>
      <c r="BC25" s="113"/>
      <c r="BD25" s="116"/>
      <c r="BE25" s="113"/>
      <c r="BF25" s="116"/>
      <c r="BG25" s="116"/>
      <c r="BH25" s="137">
        <f t="shared" si="5"/>
        <v>200700</v>
      </c>
      <c r="BI25" s="138">
        <f t="shared" si="6"/>
        <v>66900</v>
      </c>
      <c r="BJ25" s="126"/>
      <c r="BK25" s="91"/>
    </row>
    <row r="26" spans="1:63" ht="15.75">
      <c r="A26" s="123">
        <v>504334</v>
      </c>
      <c r="B26" s="126">
        <v>202019</v>
      </c>
      <c r="C26" s="149" t="s">
        <v>721</v>
      </c>
      <c r="D26" s="149" t="s">
        <v>722</v>
      </c>
      <c r="E26" s="125" t="s">
        <v>719</v>
      </c>
      <c r="F26" s="124" t="s">
        <v>720</v>
      </c>
      <c r="G26" s="127" t="s">
        <v>46</v>
      </c>
      <c r="H26" s="149" t="s">
        <v>597</v>
      </c>
      <c r="I26" s="126" t="s">
        <v>723</v>
      </c>
      <c r="J26" s="126" t="s">
        <v>724</v>
      </c>
      <c r="K26" s="128" t="s">
        <v>725</v>
      </c>
      <c r="L26" s="121" t="s">
        <v>19</v>
      </c>
      <c r="M26" s="123" t="s">
        <v>726</v>
      </c>
      <c r="N26" s="129">
        <v>43191</v>
      </c>
      <c r="O26" s="129">
        <v>43921</v>
      </c>
      <c r="P26" s="129">
        <v>43585</v>
      </c>
      <c r="Q26" s="144">
        <v>200000</v>
      </c>
      <c r="R26" s="150"/>
      <c r="S26" s="132">
        <v>65000</v>
      </c>
      <c r="T26" s="132">
        <v>5905</v>
      </c>
      <c r="U26" s="132">
        <v>25000</v>
      </c>
      <c r="V26" s="132">
        <v>0</v>
      </c>
      <c r="W26" s="132">
        <v>4095</v>
      </c>
      <c r="X26" s="132">
        <v>0</v>
      </c>
      <c r="Y26" s="111">
        <f>SUM(R26:X26)</f>
        <v>100000</v>
      </c>
      <c r="Z26" s="133">
        <f t="shared" si="0"/>
        <v>100000</v>
      </c>
      <c r="AA26" s="133">
        <f t="shared" si="1"/>
        <v>0</v>
      </c>
      <c r="AB26" s="141"/>
      <c r="AC26" s="132">
        <v>65000</v>
      </c>
      <c r="AD26" s="132">
        <v>0</v>
      </c>
      <c r="AE26" s="132">
        <v>27450</v>
      </c>
      <c r="AF26" s="132">
        <v>0</v>
      </c>
      <c r="AG26" s="132">
        <v>7550</v>
      </c>
      <c r="AH26" s="132"/>
      <c r="AI26" s="111">
        <v>100000</v>
      </c>
      <c r="AJ26" s="134">
        <f t="shared" si="8"/>
        <v>100000</v>
      </c>
      <c r="AK26" s="134">
        <f t="shared" si="3"/>
        <v>0</v>
      </c>
      <c r="AL26" s="145"/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2">
        <v>0</v>
      </c>
      <c r="AS26" s="116">
        <v>0</v>
      </c>
      <c r="AT26" s="134">
        <f t="shared" si="7"/>
        <v>0</v>
      </c>
      <c r="AU26" s="134">
        <f t="shared" si="4"/>
        <v>0</v>
      </c>
      <c r="AV26" s="142"/>
      <c r="AW26" s="135"/>
      <c r="AX26" s="135"/>
      <c r="AY26" s="135"/>
      <c r="AZ26" s="135"/>
      <c r="BA26" s="135"/>
      <c r="BB26" s="116"/>
      <c r="BC26" s="113"/>
      <c r="BD26" s="116"/>
      <c r="BE26" s="113"/>
      <c r="BF26" s="116"/>
      <c r="BG26" s="116"/>
      <c r="BH26" s="137">
        <f t="shared" si="5"/>
        <v>200000</v>
      </c>
      <c r="BI26" s="138">
        <f t="shared" si="6"/>
        <v>0</v>
      </c>
      <c r="BJ26" s="147"/>
      <c r="BK26" s="91"/>
    </row>
    <row r="27" spans="1:63" ht="15.75">
      <c r="A27" s="123">
        <v>502068</v>
      </c>
      <c r="B27" s="126">
        <v>202588</v>
      </c>
      <c r="C27" s="121" t="s">
        <v>728</v>
      </c>
      <c r="D27" s="121" t="s">
        <v>729</v>
      </c>
      <c r="E27" s="125" t="s">
        <v>727</v>
      </c>
      <c r="F27" s="124" t="s">
        <v>245</v>
      </c>
      <c r="G27" s="127" t="s">
        <v>75</v>
      </c>
      <c r="H27" s="123" t="s">
        <v>628</v>
      </c>
      <c r="I27" s="126" t="s">
        <v>598</v>
      </c>
      <c r="J27" s="126" t="s">
        <v>730</v>
      </c>
      <c r="K27" s="128" t="s">
        <v>731</v>
      </c>
      <c r="L27" s="123" t="s">
        <v>732</v>
      </c>
      <c r="M27" s="123" t="s">
        <v>733</v>
      </c>
      <c r="N27" s="129">
        <v>42736</v>
      </c>
      <c r="O27" s="129">
        <v>43190</v>
      </c>
      <c r="P27" s="129">
        <v>43190</v>
      </c>
      <c r="Q27" s="144">
        <v>77016</v>
      </c>
      <c r="R27" s="150"/>
      <c r="S27" s="132">
        <v>28000</v>
      </c>
      <c r="T27" s="132">
        <v>0</v>
      </c>
      <c r="U27" s="132">
        <v>0</v>
      </c>
      <c r="V27" s="132"/>
      <c r="W27" s="132"/>
      <c r="X27" s="132">
        <v>49016</v>
      </c>
      <c r="Y27" s="111">
        <v>77016</v>
      </c>
      <c r="Z27" s="133">
        <f t="shared" si="0"/>
        <v>77016</v>
      </c>
      <c r="AA27" s="133">
        <f t="shared" si="1"/>
        <v>0</v>
      </c>
      <c r="AB27" s="141"/>
      <c r="AC27" s="132" t="s">
        <v>602</v>
      </c>
      <c r="AD27" s="132" t="s">
        <v>602</v>
      </c>
      <c r="AE27" s="132" t="s">
        <v>602</v>
      </c>
      <c r="AF27" s="132" t="s">
        <v>602</v>
      </c>
      <c r="AG27" s="132" t="s">
        <v>602</v>
      </c>
      <c r="AH27" s="132"/>
      <c r="AI27" s="111">
        <v>0</v>
      </c>
      <c r="AJ27" s="134">
        <f t="shared" si="8"/>
        <v>0</v>
      </c>
      <c r="AK27" s="134">
        <f t="shared" si="3"/>
        <v>0</v>
      </c>
      <c r="AL27" s="142"/>
      <c r="AM27" s="132" t="s">
        <v>602</v>
      </c>
      <c r="AN27" s="132" t="s">
        <v>602</v>
      </c>
      <c r="AO27" s="132" t="s">
        <v>602</v>
      </c>
      <c r="AP27" s="132" t="s">
        <v>602</v>
      </c>
      <c r="AQ27" s="132" t="s">
        <v>602</v>
      </c>
      <c r="AR27" s="135" t="s">
        <v>602</v>
      </c>
      <c r="AS27" s="116">
        <v>0</v>
      </c>
      <c r="AT27" s="134">
        <f t="shared" si="7"/>
        <v>0</v>
      </c>
      <c r="AU27" s="134">
        <f t="shared" si="4"/>
        <v>0</v>
      </c>
      <c r="AV27" s="142"/>
      <c r="AW27" s="132" t="s">
        <v>602</v>
      </c>
      <c r="AX27" s="132" t="s">
        <v>602</v>
      </c>
      <c r="AY27" s="132" t="s">
        <v>602</v>
      </c>
      <c r="AZ27" s="132" t="s">
        <v>602</v>
      </c>
      <c r="BA27" s="132" t="s">
        <v>602</v>
      </c>
      <c r="BB27" s="116">
        <f>SUM(AW27:BA27)</f>
        <v>0</v>
      </c>
      <c r="BC27" s="113"/>
      <c r="BD27" s="116"/>
      <c r="BE27" s="113"/>
      <c r="BF27" s="116"/>
      <c r="BG27" s="116"/>
      <c r="BH27" s="137">
        <f t="shared" si="5"/>
        <v>77016</v>
      </c>
      <c r="BI27" s="138">
        <f t="shared" si="6"/>
        <v>0</v>
      </c>
      <c r="BJ27" s="124" t="s">
        <v>734</v>
      </c>
      <c r="BK27" s="91"/>
    </row>
    <row r="28" spans="1:63" ht="15.75">
      <c r="A28" s="123">
        <v>499891</v>
      </c>
      <c r="B28" s="126">
        <v>202616</v>
      </c>
      <c r="C28" s="124" t="s">
        <v>738</v>
      </c>
      <c r="D28" s="124" t="s">
        <v>608</v>
      </c>
      <c r="E28" s="125" t="s">
        <v>737</v>
      </c>
      <c r="F28" s="124" t="s">
        <v>124</v>
      </c>
      <c r="G28" s="127" t="s">
        <v>46</v>
      </c>
      <c r="H28" s="126" t="s">
        <v>597</v>
      </c>
      <c r="I28" s="126" t="s">
        <v>609</v>
      </c>
      <c r="J28" s="126" t="s">
        <v>610</v>
      </c>
      <c r="K28" s="128" t="s">
        <v>611</v>
      </c>
      <c r="L28" s="121" t="s">
        <v>637</v>
      </c>
      <c r="M28" s="123" t="s">
        <v>638</v>
      </c>
      <c r="N28" s="129">
        <v>42248</v>
      </c>
      <c r="O28" s="129">
        <v>42643</v>
      </c>
      <c r="P28" s="129">
        <v>42671</v>
      </c>
      <c r="Q28" s="130">
        <v>176667</v>
      </c>
      <c r="R28" s="132">
        <v>154833.13</v>
      </c>
      <c r="S28" s="132"/>
      <c r="T28" s="132">
        <v>0</v>
      </c>
      <c r="U28" s="132">
        <v>0</v>
      </c>
      <c r="V28" s="132"/>
      <c r="W28" s="132">
        <v>0</v>
      </c>
      <c r="X28" s="132">
        <v>21833.87</v>
      </c>
      <c r="Y28" s="111">
        <v>176667</v>
      </c>
      <c r="Z28" s="133">
        <f t="shared" si="0"/>
        <v>176667</v>
      </c>
      <c r="AA28" s="133">
        <f t="shared" si="1"/>
        <v>0</v>
      </c>
      <c r="AB28" s="141"/>
      <c r="AC28" s="132" t="s">
        <v>602</v>
      </c>
      <c r="AD28" s="132" t="s">
        <v>602</v>
      </c>
      <c r="AE28" s="132" t="s">
        <v>602</v>
      </c>
      <c r="AF28" s="132" t="s">
        <v>602</v>
      </c>
      <c r="AG28" s="132" t="s">
        <v>602</v>
      </c>
      <c r="AH28" s="132"/>
      <c r="AI28" s="111">
        <v>0</v>
      </c>
      <c r="AJ28" s="134">
        <f t="shared" si="8"/>
        <v>0</v>
      </c>
      <c r="AK28" s="134">
        <f t="shared" si="3"/>
        <v>0</v>
      </c>
      <c r="AL28" s="142"/>
      <c r="AM28" s="132" t="s">
        <v>602</v>
      </c>
      <c r="AN28" s="132" t="s">
        <v>602</v>
      </c>
      <c r="AO28" s="132" t="s">
        <v>602</v>
      </c>
      <c r="AP28" s="132" t="s">
        <v>602</v>
      </c>
      <c r="AQ28" s="132" t="s">
        <v>602</v>
      </c>
      <c r="AR28" s="135" t="s">
        <v>602</v>
      </c>
      <c r="AS28" s="116">
        <v>0</v>
      </c>
      <c r="AT28" s="134">
        <f t="shared" si="7"/>
        <v>0</v>
      </c>
      <c r="AU28" s="134">
        <f t="shared" si="4"/>
        <v>0</v>
      </c>
      <c r="AV28" s="142"/>
      <c r="AW28" s="132" t="s">
        <v>602</v>
      </c>
      <c r="AX28" s="132" t="s">
        <v>602</v>
      </c>
      <c r="AY28" s="132" t="s">
        <v>602</v>
      </c>
      <c r="AZ28" s="132" t="s">
        <v>602</v>
      </c>
      <c r="BA28" s="132" t="s">
        <v>602</v>
      </c>
      <c r="BB28" s="116"/>
      <c r="BC28" s="113"/>
      <c r="BD28" s="116"/>
      <c r="BE28" s="113"/>
      <c r="BF28" s="116"/>
      <c r="BG28" s="116"/>
      <c r="BH28" s="137">
        <f t="shared" si="5"/>
        <v>176667</v>
      </c>
      <c r="BI28" s="138">
        <f t="shared" si="6"/>
        <v>0</v>
      </c>
      <c r="BJ28" s="126" t="s">
        <v>739</v>
      </c>
      <c r="BK28" s="91"/>
    </row>
    <row r="29" spans="1:63" ht="15.75">
      <c r="A29" s="123">
        <v>501344</v>
      </c>
      <c r="B29" s="126">
        <v>202616</v>
      </c>
      <c r="C29" s="124" t="s">
        <v>738</v>
      </c>
      <c r="D29" s="124" t="s">
        <v>608</v>
      </c>
      <c r="E29" s="125" t="s">
        <v>737</v>
      </c>
      <c r="F29" s="124" t="s">
        <v>124</v>
      </c>
      <c r="G29" s="127" t="s">
        <v>46</v>
      </c>
      <c r="H29" s="126" t="s">
        <v>597</v>
      </c>
      <c r="I29" s="126" t="s">
        <v>609</v>
      </c>
      <c r="J29" s="126" t="s">
        <v>610</v>
      </c>
      <c r="K29" s="128" t="s">
        <v>611</v>
      </c>
      <c r="L29" s="121" t="s">
        <v>515</v>
      </c>
      <c r="M29" s="123" t="s">
        <v>667</v>
      </c>
      <c r="N29" s="129">
        <v>42614</v>
      </c>
      <c r="O29" s="129">
        <v>43708</v>
      </c>
      <c r="P29" s="129">
        <v>43343</v>
      </c>
      <c r="Q29" s="130">
        <v>648000</v>
      </c>
      <c r="R29" s="113"/>
      <c r="S29" s="132">
        <v>79235</v>
      </c>
      <c r="T29" s="132">
        <v>0</v>
      </c>
      <c r="U29" s="132">
        <v>31534</v>
      </c>
      <c r="V29" s="132"/>
      <c r="W29" s="132">
        <v>17231</v>
      </c>
      <c r="X29" s="132">
        <v>0</v>
      </c>
      <c r="Y29" s="111">
        <v>128000</v>
      </c>
      <c r="Z29" s="133">
        <f t="shared" si="0"/>
        <v>128000</v>
      </c>
      <c r="AA29" s="133">
        <f t="shared" si="1"/>
        <v>0</v>
      </c>
      <c r="AB29" s="141"/>
      <c r="AC29" s="132">
        <v>160947</v>
      </c>
      <c r="AD29" s="132">
        <v>0</v>
      </c>
      <c r="AE29" s="132">
        <v>64053</v>
      </c>
      <c r="AF29" s="132">
        <v>35000</v>
      </c>
      <c r="AG29" s="132">
        <v>0</v>
      </c>
      <c r="AH29" s="132"/>
      <c r="AI29" s="111">
        <v>260000</v>
      </c>
      <c r="AJ29" s="134">
        <f t="shared" si="8"/>
        <v>260000</v>
      </c>
      <c r="AK29" s="134">
        <f t="shared" si="3"/>
        <v>0</v>
      </c>
      <c r="AL29" s="142"/>
      <c r="AM29" s="135">
        <v>160947</v>
      </c>
      <c r="AN29" s="135">
        <v>0</v>
      </c>
      <c r="AO29" s="135">
        <v>64053</v>
      </c>
      <c r="AP29" s="135"/>
      <c r="AQ29" s="135">
        <v>35000</v>
      </c>
      <c r="AR29" s="135">
        <v>0</v>
      </c>
      <c r="AS29" s="116">
        <v>260000</v>
      </c>
      <c r="AT29" s="134">
        <f t="shared" si="7"/>
        <v>260000</v>
      </c>
      <c r="AU29" s="134">
        <f t="shared" si="4"/>
        <v>0</v>
      </c>
      <c r="AV29" s="142"/>
      <c r="AW29" s="135"/>
      <c r="AX29" s="135"/>
      <c r="AY29" s="135"/>
      <c r="AZ29" s="135"/>
      <c r="BA29" s="135"/>
      <c r="BB29" s="116"/>
      <c r="BC29" s="113"/>
      <c r="BD29" s="116"/>
      <c r="BE29" s="113"/>
      <c r="BF29" s="116"/>
      <c r="BG29" s="116"/>
      <c r="BH29" s="137">
        <f t="shared" si="5"/>
        <v>648000</v>
      </c>
      <c r="BI29" s="138">
        <f t="shared" si="6"/>
        <v>0</v>
      </c>
      <c r="BJ29" s="126"/>
      <c r="BK29" s="91"/>
    </row>
    <row r="30" spans="1:63" ht="15.75">
      <c r="A30" s="180">
        <v>507782</v>
      </c>
      <c r="B30" s="126">
        <v>202616</v>
      </c>
      <c r="C30" s="123" t="s">
        <v>738</v>
      </c>
      <c r="D30" s="123" t="s">
        <v>608</v>
      </c>
      <c r="E30" s="123" t="s">
        <v>737</v>
      </c>
      <c r="F30" s="123" t="s">
        <v>124</v>
      </c>
      <c r="G30" s="127" t="s">
        <v>46</v>
      </c>
      <c r="H30" s="126" t="s">
        <v>597</v>
      </c>
      <c r="I30" s="126" t="s">
        <v>609</v>
      </c>
      <c r="J30" s="126" t="s">
        <v>610</v>
      </c>
      <c r="K30" s="128" t="s">
        <v>611</v>
      </c>
      <c r="L30" s="121" t="s">
        <v>520</v>
      </c>
      <c r="M30" s="123" t="s">
        <v>616</v>
      </c>
      <c r="N30" s="129">
        <v>43709</v>
      </c>
      <c r="O30" s="129">
        <v>44742</v>
      </c>
      <c r="P30" s="129">
        <v>44742</v>
      </c>
      <c r="Q30" s="130">
        <f>300000+300000</f>
        <v>600000</v>
      </c>
      <c r="R30" s="113"/>
      <c r="S30" s="132">
        <v>200000</v>
      </c>
      <c r="T30" s="132"/>
      <c r="U30" s="132">
        <v>100000</v>
      </c>
      <c r="V30" s="132"/>
      <c r="W30" s="132"/>
      <c r="X30" s="132"/>
      <c r="Y30" s="111">
        <v>300000</v>
      </c>
      <c r="Z30" s="133">
        <f t="shared" si="0"/>
        <v>300000</v>
      </c>
      <c r="AA30" s="133">
        <f t="shared" si="1"/>
        <v>0</v>
      </c>
      <c r="AB30" s="141"/>
      <c r="AC30" s="132">
        <v>200000</v>
      </c>
      <c r="AD30" s="132"/>
      <c r="AE30" s="132">
        <v>100000</v>
      </c>
      <c r="AF30" s="132"/>
      <c r="AG30" s="132"/>
      <c r="AH30" s="132"/>
      <c r="AI30" s="111">
        <v>300000</v>
      </c>
      <c r="AJ30" s="134">
        <f t="shared" si="8"/>
        <v>300000</v>
      </c>
      <c r="AK30" s="134">
        <f t="shared" si="3"/>
        <v>0</v>
      </c>
      <c r="AL30" s="142"/>
      <c r="AM30" s="135">
        <v>200000</v>
      </c>
      <c r="AN30" s="135"/>
      <c r="AO30" s="135">
        <v>100000</v>
      </c>
      <c r="AP30" s="135"/>
      <c r="AQ30" s="135"/>
      <c r="AR30" s="135"/>
      <c r="AS30" s="116">
        <v>300000</v>
      </c>
      <c r="AT30" s="134">
        <f t="shared" si="7"/>
        <v>300000</v>
      </c>
      <c r="AU30" s="134">
        <f t="shared" si="4"/>
        <v>0</v>
      </c>
      <c r="AV30" s="142"/>
      <c r="AW30" s="135"/>
      <c r="AX30" s="135"/>
      <c r="AY30" s="135"/>
      <c r="AZ30" s="135"/>
      <c r="BA30" s="135"/>
      <c r="BB30" s="116"/>
      <c r="BC30" s="113"/>
      <c r="BD30" s="116"/>
      <c r="BE30" s="113"/>
      <c r="BF30" s="116"/>
      <c r="BG30" s="116"/>
      <c r="BH30" s="137">
        <f t="shared" si="5"/>
        <v>900000</v>
      </c>
      <c r="BI30" s="138">
        <f t="shared" si="6"/>
        <v>300000</v>
      </c>
      <c r="BJ30" s="126"/>
      <c r="BK30" s="91"/>
    </row>
    <row r="31" spans="1:63" ht="15.75">
      <c r="A31" s="123">
        <v>499898</v>
      </c>
      <c r="B31" s="126">
        <v>203143</v>
      </c>
      <c r="C31" s="148" t="s">
        <v>742</v>
      </c>
      <c r="D31" s="148" t="s">
        <v>743</v>
      </c>
      <c r="E31" s="125" t="s">
        <v>740</v>
      </c>
      <c r="F31" s="124" t="s">
        <v>741</v>
      </c>
      <c r="G31" s="127" t="s">
        <v>46</v>
      </c>
      <c r="H31" s="149" t="s">
        <v>597</v>
      </c>
      <c r="I31" s="126" t="s">
        <v>609</v>
      </c>
      <c r="J31" s="126" t="s">
        <v>610</v>
      </c>
      <c r="K31" s="128" t="s">
        <v>611</v>
      </c>
      <c r="L31" s="121" t="s">
        <v>637</v>
      </c>
      <c r="M31" s="123" t="s">
        <v>638</v>
      </c>
      <c r="N31" s="129">
        <v>42248</v>
      </c>
      <c r="O31" s="129">
        <v>42643</v>
      </c>
      <c r="P31" s="129">
        <v>42668</v>
      </c>
      <c r="Q31" s="144">
        <v>54167</v>
      </c>
      <c r="R31" s="132">
        <v>25000</v>
      </c>
      <c r="S31" s="132"/>
      <c r="T31" s="132">
        <v>0</v>
      </c>
      <c r="U31" s="132">
        <v>0</v>
      </c>
      <c r="V31" s="132"/>
      <c r="W31" s="132">
        <v>0</v>
      </c>
      <c r="X31" s="132">
        <v>29167</v>
      </c>
      <c r="Y31" s="111">
        <v>54167</v>
      </c>
      <c r="Z31" s="133">
        <f t="shared" si="0"/>
        <v>54167</v>
      </c>
      <c r="AA31" s="133">
        <f t="shared" si="1"/>
        <v>0</v>
      </c>
      <c r="AB31" s="141"/>
      <c r="AC31" s="132" t="s">
        <v>602</v>
      </c>
      <c r="AD31" s="132" t="s">
        <v>602</v>
      </c>
      <c r="AE31" s="132" t="s">
        <v>602</v>
      </c>
      <c r="AF31" s="132" t="s">
        <v>602</v>
      </c>
      <c r="AG31" s="132" t="s">
        <v>602</v>
      </c>
      <c r="AH31" s="132"/>
      <c r="AI31" s="111">
        <v>0</v>
      </c>
      <c r="AJ31" s="134">
        <f t="shared" si="8"/>
        <v>0</v>
      </c>
      <c r="AK31" s="134">
        <f t="shared" si="3"/>
        <v>0</v>
      </c>
      <c r="AL31" s="142"/>
      <c r="AM31" s="132" t="s">
        <v>602</v>
      </c>
      <c r="AN31" s="132" t="s">
        <v>602</v>
      </c>
      <c r="AO31" s="132" t="s">
        <v>602</v>
      </c>
      <c r="AP31" s="132" t="s">
        <v>602</v>
      </c>
      <c r="AQ31" s="132" t="s">
        <v>602</v>
      </c>
      <c r="AR31" s="135" t="s">
        <v>602</v>
      </c>
      <c r="AS31" s="116">
        <v>0</v>
      </c>
      <c r="AT31" s="134">
        <f t="shared" si="7"/>
        <v>0</v>
      </c>
      <c r="AU31" s="134">
        <f t="shared" si="4"/>
        <v>0</v>
      </c>
      <c r="AV31" s="142"/>
      <c r="AW31" s="132" t="s">
        <v>602</v>
      </c>
      <c r="AX31" s="132" t="s">
        <v>602</v>
      </c>
      <c r="AY31" s="132" t="s">
        <v>602</v>
      </c>
      <c r="AZ31" s="132" t="s">
        <v>602</v>
      </c>
      <c r="BA31" s="132" t="s">
        <v>602</v>
      </c>
      <c r="BB31" s="116"/>
      <c r="BC31" s="113"/>
      <c r="BD31" s="116"/>
      <c r="BE31" s="113"/>
      <c r="BF31" s="116"/>
      <c r="BG31" s="116"/>
      <c r="BH31" s="137">
        <f t="shared" si="5"/>
        <v>54167</v>
      </c>
      <c r="BI31" s="138">
        <f t="shared" si="6"/>
        <v>0</v>
      </c>
      <c r="BJ31" s="147"/>
      <c r="BK31" s="91"/>
    </row>
    <row r="32" spans="1:63" ht="15.75">
      <c r="A32" s="123">
        <v>501346</v>
      </c>
      <c r="B32" s="126">
        <v>203143</v>
      </c>
      <c r="C32" s="148" t="s">
        <v>742</v>
      </c>
      <c r="D32" s="148" t="s">
        <v>743</v>
      </c>
      <c r="E32" s="125" t="s">
        <v>740</v>
      </c>
      <c r="F32" s="124" t="s">
        <v>741</v>
      </c>
      <c r="G32" s="127" t="s">
        <v>46</v>
      </c>
      <c r="H32" s="149" t="s">
        <v>628</v>
      </c>
      <c r="I32" s="126" t="s">
        <v>609</v>
      </c>
      <c r="J32" s="126" t="s">
        <v>610</v>
      </c>
      <c r="K32" s="128" t="s">
        <v>611</v>
      </c>
      <c r="L32" s="121" t="s">
        <v>515</v>
      </c>
      <c r="M32" s="123" t="s">
        <v>744</v>
      </c>
      <c r="N32" s="129">
        <v>42614</v>
      </c>
      <c r="O32" s="129">
        <v>43830</v>
      </c>
      <c r="P32" s="129">
        <v>43830</v>
      </c>
      <c r="Q32" s="144">
        <v>90000</v>
      </c>
      <c r="R32" s="150"/>
      <c r="S32" s="132">
        <v>20000</v>
      </c>
      <c r="T32" s="132">
        <v>0</v>
      </c>
      <c r="U32" s="132">
        <v>10000</v>
      </c>
      <c r="V32" s="132"/>
      <c r="W32" s="132">
        <v>0</v>
      </c>
      <c r="X32" s="132">
        <v>0</v>
      </c>
      <c r="Y32" s="111">
        <v>30000</v>
      </c>
      <c r="Z32" s="133">
        <f t="shared" si="0"/>
        <v>30000</v>
      </c>
      <c r="AA32" s="133">
        <f t="shared" si="1"/>
        <v>0</v>
      </c>
      <c r="AB32" s="141"/>
      <c r="AC32" s="132">
        <v>20000</v>
      </c>
      <c r="AD32" s="132">
        <v>0</v>
      </c>
      <c r="AE32" s="132">
        <v>661</v>
      </c>
      <c r="AF32" s="132">
        <v>0</v>
      </c>
      <c r="AG32" s="132">
        <v>0</v>
      </c>
      <c r="AH32" s="132"/>
      <c r="AI32" s="111">
        <v>20661</v>
      </c>
      <c r="AJ32" s="134">
        <f t="shared" si="8"/>
        <v>20661</v>
      </c>
      <c r="AK32" s="134">
        <f t="shared" si="3"/>
        <v>0</v>
      </c>
      <c r="AL32" s="142"/>
      <c r="AM32" s="135">
        <v>20000</v>
      </c>
      <c r="AN32" s="135">
        <v>19339.37</v>
      </c>
      <c r="AO32" s="135">
        <v>0</v>
      </c>
      <c r="AP32" s="135"/>
      <c r="AQ32" s="135">
        <v>0</v>
      </c>
      <c r="AR32" s="135">
        <v>0</v>
      </c>
      <c r="AS32" s="116">
        <v>39339.370000000003</v>
      </c>
      <c r="AT32" s="134">
        <f t="shared" si="7"/>
        <v>39339.369999999995</v>
      </c>
      <c r="AU32" s="134">
        <f t="shared" si="4"/>
        <v>0</v>
      </c>
      <c r="AV32" s="142"/>
      <c r="AW32" s="135"/>
      <c r="AX32" s="135"/>
      <c r="AY32" s="135"/>
      <c r="AZ32" s="135"/>
      <c r="BA32" s="135"/>
      <c r="BB32" s="116"/>
      <c r="BC32" s="113"/>
      <c r="BD32" s="116"/>
      <c r="BE32" s="113"/>
      <c r="BF32" s="116"/>
      <c r="BG32" s="116"/>
      <c r="BH32" s="137">
        <f t="shared" si="5"/>
        <v>90000.37</v>
      </c>
      <c r="BI32" s="138">
        <f t="shared" si="6"/>
        <v>0.36999999999534339</v>
      </c>
      <c r="BJ32" s="147" t="s">
        <v>745</v>
      </c>
      <c r="BK32" s="91"/>
    </row>
    <row r="33" spans="1:63" ht="15.75">
      <c r="A33" s="123">
        <v>501348</v>
      </c>
      <c r="B33" s="126">
        <v>203143</v>
      </c>
      <c r="C33" s="148" t="s">
        <v>742</v>
      </c>
      <c r="D33" s="148" t="s">
        <v>743</v>
      </c>
      <c r="E33" s="125" t="s">
        <v>740</v>
      </c>
      <c r="F33" s="124" t="s">
        <v>741</v>
      </c>
      <c r="G33" s="127" t="s">
        <v>46</v>
      </c>
      <c r="H33" s="149" t="s">
        <v>628</v>
      </c>
      <c r="I33" s="126" t="s">
        <v>609</v>
      </c>
      <c r="J33" s="126" t="s">
        <v>610</v>
      </c>
      <c r="K33" s="128" t="s">
        <v>611</v>
      </c>
      <c r="L33" s="121" t="s">
        <v>515</v>
      </c>
      <c r="M33" s="143" t="s">
        <v>744</v>
      </c>
      <c r="N33" s="129">
        <v>42614</v>
      </c>
      <c r="O33" s="129">
        <v>44286</v>
      </c>
      <c r="P33" s="129">
        <v>44286</v>
      </c>
      <c r="Q33" s="144">
        <v>225000</v>
      </c>
      <c r="R33" s="150"/>
      <c r="S33" s="132">
        <v>50000</v>
      </c>
      <c r="T33" s="132">
        <v>10000</v>
      </c>
      <c r="U33" s="132">
        <v>15000</v>
      </c>
      <c r="V33" s="132"/>
      <c r="W33" s="132">
        <v>0</v>
      </c>
      <c r="X33" s="132">
        <v>0</v>
      </c>
      <c r="Y33" s="111">
        <v>75000</v>
      </c>
      <c r="Z33" s="133">
        <f t="shared" si="0"/>
        <v>75000</v>
      </c>
      <c r="AA33" s="133">
        <f t="shared" si="1"/>
        <v>0</v>
      </c>
      <c r="AB33" s="141"/>
      <c r="AC33" s="132">
        <v>50000</v>
      </c>
      <c r="AD33" s="132">
        <v>5000</v>
      </c>
      <c r="AE33" s="132">
        <v>10223</v>
      </c>
      <c r="AF33" s="132">
        <v>0</v>
      </c>
      <c r="AG33" s="132">
        <v>0</v>
      </c>
      <c r="AH33" s="132"/>
      <c r="AI33" s="111">
        <v>65223</v>
      </c>
      <c r="AJ33" s="134">
        <f t="shared" si="8"/>
        <v>65223</v>
      </c>
      <c r="AK33" s="134">
        <f t="shared" si="3"/>
        <v>0</v>
      </c>
      <c r="AL33" s="142"/>
      <c r="AM33" s="135">
        <v>50000</v>
      </c>
      <c r="AN33" s="135">
        <v>34777.74</v>
      </c>
      <c r="AO33" s="135">
        <v>0</v>
      </c>
      <c r="AP33" s="135"/>
      <c r="AQ33" s="135">
        <v>0</v>
      </c>
      <c r="AR33" s="135">
        <v>0</v>
      </c>
      <c r="AS33" s="116">
        <v>84777</v>
      </c>
      <c r="AT33" s="134">
        <f t="shared" si="7"/>
        <v>84777.739999999991</v>
      </c>
      <c r="AU33" s="134">
        <f t="shared" si="4"/>
        <v>0.73999999999068677</v>
      </c>
      <c r="AV33" s="142"/>
      <c r="AW33" s="135"/>
      <c r="AX33" s="135"/>
      <c r="AY33" s="135"/>
      <c r="AZ33" s="135"/>
      <c r="BA33" s="135"/>
      <c r="BB33" s="116"/>
      <c r="BC33" s="113"/>
      <c r="BD33" s="116"/>
      <c r="BE33" s="113"/>
      <c r="BF33" s="116"/>
      <c r="BG33" s="116"/>
      <c r="BH33" s="137">
        <f t="shared" si="5"/>
        <v>225000</v>
      </c>
      <c r="BI33" s="138">
        <f t="shared" si="6"/>
        <v>0</v>
      </c>
      <c r="BJ33" s="147" t="s">
        <v>746</v>
      </c>
      <c r="BK33" s="91"/>
    </row>
    <row r="34" spans="1:63" ht="15.75">
      <c r="A34" s="123">
        <v>502314</v>
      </c>
      <c r="B34" s="126">
        <v>203143</v>
      </c>
      <c r="C34" s="148" t="s">
        <v>742</v>
      </c>
      <c r="D34" s="148" t="s">
        <v>743</v>
      </c>
      <c r="E34" s="125" t="s">
        <v>740</v>
      </c>
      <c r="F34" s="124" t="s">
        <v>741</v>
      </c>
      <c r="G34" s="127" t="s">
        <v>46</v>
      </c>
      <c r="H34" s="149" t="s">
        <v>747</v>
      </c>
      <c r="I34" s="126" t="s">
        <v>609</v>
      </c>
      <c r="J34" s="126" t="s">
        <v>610</v>
      </c>
      <c r="K34" s="128" t="s">
        <v>611</v>
      </c>
      <c r="L34" s="121" t="s">
        <v>652</v>
      </c>
      <c r="M34" s="123" t="s">
        <v>748</v>
      </c>
      <c r="N34" s="129">
        <v>42826</v>
      </c>
      <c r="O34" s="129">
        <v>43373</v>
      </c>
      <c r="P34" s="129">
        <v>43373</v>
      </c>
      <c r="Q34" s="144">
        <v>20000</v>
      </c>
      <c r="R34" s="150"/>
      <c r="S34" s="132">
        <v>20000</v>
      </c>
      <c r="T34" s="132">
        <v>0</v>
      </c>
      <c r="U34" s="132">
        <v>0</v>
      </c>
      <c r="V34" s="132"/>
      <c r="W34" s="132">
        <v>0</v>
      </c>
      <c r="X34" s="132">
        <v>0</v>
      </c>
      <c r="Y34" s="111">
        <v>20000</v>
      </c>
      <c r="Z34" s="133">
        <f t="shared" ref="Z34:Z65" si="9">SUM(R34:X34)</f>
        <v>20000</v>
      </c>
      <c r="AA34" s="133">
        <f t="shared" ref="AA34:AA65" si="10">Z34-Y34</f>
        <v>0</v>
      </c>
      <c r="AB34" s="141"/>
      <c r="AC34" s="132" t="s">
        <v>602</v>
      </c>
      <c r="AD34" s="132" t="s">
        <v>602</v>
      </c>
      <c r="AE34" s="132" t="s">
        <v>602</v>
      </c>
      <c r="AF34" s="132" t="s">
        <v>602</v>
      </c>
      <c r="AG34" s="132" t="s">
        <v>602</v>
      </c>
      <c r="AH34" s="132"/>
      <c r="AI34" s="111">
        <v>0</v>
      </c>
      <c r="AJ34" s="134">
        <f t="shared" si="8"/>
        <v>0</v>
      </c>
      <c r="AK34" s="134">
        <f t="shared" si="3"/>
        <v>0</v>
      </c>
      <c r="AL34" s="142"/>
      <c r="AM34" s="132" t="s">
        <v>602</v>
      </c>
      <c r="AN34" s="132" t="s">
        <v>602</v>
      </c>
      <c r="AO34" s="132" t="s">
        <v>602</v>
      </c>
      <c r="AP34" s="132" t="s">
        <v>602</v>
      </c>
      <c r="AQ34" s="132" t="s">
        <v>602</v>
      </c>
      <c r="AR34" s="135" t="s">
        <v>602</v>
      </c>
      <c r="AS34" s="116">
        <v>0</v>
      </c>
      <c r="AT34" s="134">
        <f t="shared" si="7"/>
        <v>0</v>
      </c>
      <c r="AU34" s="134">
        <f t="shared" si="4"/>
        <v>0</v>
      </c>
      <c r="AV34" s="142"/>
      <c r="AW34" s="135"/>
      <c r="AX34" s="135"/>
      <c r="AY34" s="135"/>
      <c r="AZ34" s="135"/>
      <c r="BA34" s="135"/>
      <c r="BB34" s="116"/>
      <c r="BC34" s="113"/>
      <c r="BD34" s="116"/>
      <c r="BE34" s="113"/>
      <c r="BF34" s="116"/>
      <c r="BG34" s="116"/>
      <c r="BH34" s="137">
        <f t="shared" si="5"/>
        <v>20000</v>
      </c>
      <c r="BI34" s="138">
        <f t="shared" si="6"/>
        <v>0</v>
      </c>
      <c r="BJ34" s="124" t="s">
        <v>749</v>
      </c>
      <c r="BK34" s="91"/>
    </row>
    <row r="35" spans="1:63" ht="15.75">
      <c r="A35" s="123">
        <v>502801</v>
      </c>
      <c r="B35" s="126">
        <v>203173</v>
      </c>
      <c r="C35" s="124" t="s">
        <v>751</v>
      </c>
      <c r="D35" s="124" t="s">
        <v>752</v>
      </c>
      <c r="E35" s="125" t="s">
        <v>750</v>
      </c>
      <c r="F35" s="124" t="s">
        <v>270</v>
      </c>
      <c r="G35" s="127" t="s">
        <v>75</v>
      </c>
      <c r="H35" s="126" t="s">
        <v>628</v>
      </c>
      <c r="I35" s="126" t="s">
        <v>598</v>
      </c>
      <c r="J35" s="126" t="s">
        <v>645</v>
      </c>
      <c r="K35" s="128" t="s">
        <v>666</v>
      </c>
      <c r="L35" s="121" t="s">
        <v>19</v>
      </c>
      <c r="M35" s="123" t="s">
        <v>753</v>
      </c>
      <c r="N35" s="129">
        <v>42826</v>
      </c>
      <c r="O35" s="129">
        <v>43555</v>
      </c>
      <c r="P35" s="129">
        <v>43190</v>
      </c>
      <c r="Q35" s="130">
        <v>60120</v>
      </c>
      <c r="R35" s="113"/>
      <c r="S35" s="132">
        <v>21060</v>
      </c>
      <c r="T35" s="132">
        <v>0</v>
      </c>
      <c r="U35" s="132">
        <v>9000</v>
      </c>
      <c r="V35" s="132">
        <v>0</v>
      </c>
      <c r="W35" s="132">
        <v>0</v>
      </c>
      <c r="X35" s="132">
        <v>0</v>
      </c>
      <c r="Y35" s="111">
        <v>30060</v>
      </c>
      <c r="Z35" s="133">
        <f t="shared" si="9"/>
        <v>30060</v>
      </c>
      <c r="AA35" s="133">
        <f t="shared" si="10"/>
        <v>0</v>
      </c>
      <c r="AB35" s="141"/>
      <c r="AC35" s="132">
        <v>21060</v>
      </c>
      <c r="AD35" s="132">
        <v>0</v>
      </c>
      <c r="AE35" s="132">
        <v>9000</v>
      </c>
      <c r="AF35" s="132">
        <v>0</v>
      </c>
      <c r="AG35" s="132">
        <v>0</v>
      </c>
      <c r="AH35" s="132"/>
      <c r="AI35" s="111">
        <v>30060</v>
      </c>
      <c r="AJ35" s="134">
        <f t="shared" si="8"/>
        <v>30060</v>
      </c>
      <c r="AK35" s="134">
        <f t="shared" si="3"/>
        <v>0</v>
      </c>
      <c r="AL35" s="145"/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16">
        <v>0</v>
      </c>
      <c r="AT35" s="134">
        <f t="shared" si="7"/>
        <v>0</v>
      </c>
      <c r="AU35" s="134">
        <f t="shared" si="4"/>
        <v>0</v>
      </c>
      <c r="AV35" s="142"/>
      <c r="AW35" s="135"/>
      <c r="AX35" s="135"/>
      <c r="AY35" s="135"/>
      <c r="AZ35" s="135"/>
      <c r="BA35" s="135"/>
      <c r="BB35" s="116"/>
      <c r="BC35" s="113"/>
      <c r="BD35" s="116"/>
      <c r="BE35" s="113"/>
      <c r="BF35" s="116"/>
      <c r="BG35" s="116"/>
      <c r="BH35" s="137">
        <f t="shared" si="5"/>
        <v>60120</v>
      </c>
      <c r="BI35" s="138">
        <f t="shared" si="6"/>
        <v>0</v>
      </c>
      <c r="BJ35" s="126"/>
      <c r="BK35" s="91"/>
    </row>
    <row r="36" spans="1:63" ht="15.75">
      <c r="A36" s="123">
        <v>507641</v>
      </c>
      <c r="B36" s="126">
        <v>203173</v>
      </c>
      <c r="C36" s="124" t="s">
        <v>751</v>
      </c>
      <c r="D36" s="124" t="s">
        <v>752</v>
      </c>
      <c r="E36" s="125" t="s">
        <v>750</v>
      </c>
      <c r="F36" s="124" t="s">
        <v>270</v>
      </c>
      <c r="G36" s="127" t="s">
        <v>75</v>
      </c>
      <c r="H36" s="126" t="s">
        <v>628</v>
      </c>
      <c r="I36" s="126" t="s">
        <v>598</v>
      </c>
      <c r="J36" s="126" t="s">
        <v>645</v>
      </c>
      <c r="K36" s="162" t="s">
        <v>754</v>
      </c>
      <c r="L36" s="121" t="s">
        <v>519</v>
      </c>
      <c r="M36" s="123" t="s">
        <v>755</v>
      </c>
      <c r="N36" s="129">
        <v>43709</v>
      </c>
      <c r="O36" s="129">
        <v>44530</v>
      </c>
      <c r="P36" s="129">
        <v>44530</v>
      </c>
      <c r="Q36" s="130">
        <f>61955+61765</f>
        <v>123720</v>
      </c>
      <c r="R36" s="113"/>
      <c r="S36" s="132">
        <v>48335</v>
      </c>
      <c r="T36" s="132"/>
      <c r="U36" s="132">
        <v>7620</v>
      </c>
      <c r="V36" s="132"/>
      <c r="W36" s="132">
        <v>6000</v>
      </c>
      <c r="X36" s="132"/>
      <c r="Y36" s="111">
        <v>61955</v>
      </c>
      <c r="Z36" s="133">
        <f t="shared" si="9"/>
        <v>61955</v>
      </c>
      <c r="AA36" s="133">
        <f t="shared" si="10"/>
        <v>0</v>
      </c>
      <c r="AB36" s="141"/>
      <c r="AC36" s="132">
        <v>48335</v>
      </c>
      <c r="AD36" s="132"/>
      <c r="AE36" s="132">
        <v>5430</v>
      </c>
      <c r="AF36" s="132"/>
      <c r="AG36" s="132">
        <v>8000</v>
      </c>
      <c r="AH36" s="132"/>
      <c r="AI36" s="111">
        <v>61765</v>
      </c>
      <c r="AJ36" s="134">
        <f t="shared" si="8"/>
        <v>61765</v>
      </c>
      <c r="AK36" s="134">
        <f t="shared" si="3"/>
        <v>0</v>
      </c>
      <c r="AL36" s="142"/>
      <c r="AM36" s="132">
        <v>48335</v>
      </c>
      <c r="AN36" s="132"/>
      <c r="AO36" s="132">
        <v>5640</v>
      </c>
      <c r="AP36" s="132"/>
      <c r="AQ36" s="132">
        <v>8000</v>
      </c>
      <c r="AR36" s="135"/>
      <c r="AS36" s="116">
        <f>SUM(AM36:AR36)</f>
        <v>61975</v>
      </c>
      <c r="AT36" s="134">
        <f t="shared" si="7"/>
        <v>61975</v>
      </c>
      <c r="AU36" s="134">
        <f t="shared" si="4"/>
        <v>0</v>
      </c>
      <c r="AV36" s="142"/>
      <c r="AW36" s="135"/>
      <c r="AX36" s="135"/>
      <c r="AY36" s="135"/>
      <c r="AZ36" s="135"/>
      <c r="BA36" s="135"/>
      <c r="BB36" s="116"/>
      <c r="BC36" s="113"/>
      <c r="BD36" s="116"/>
      <c r="BE36" s="113"/>
      <c r="BF36" s="116"/>
      <c r="BG36" s="116"/>
      <c r="BH36" s="137">
        <f t="shared" si="5"/>
        <v>185695</v>
      </c>
      <c r="BI36" s="138">
        <f t="shared" si="6"/>
        <v>61975</v>
      </c>
      <c r="BJ36" s="126"/>
      <c r="BK36" s="91"/>
    </row>
    <row r="37" spans="1:63" ht="15.75">
      <c r="A37" s="123">
        <v>500658</v>
      </c>
      <c r="B37" s="126">
        <v>203442</v>
      </c>
      <c r="C37" s="148" t="s">
        <v>757</v>
      </c>
      <c r="D37" s="148" t="s">
        <v>758</v>
      </c>
      <c r="E37" s="125" t="s">
        <v>756</v>
      </c>
      <c r="F37" s="124" t="s">
        <v>191</v>
      </c>
      <c r="G37" s="127" t="s">
        <v>53</v>
      </c>
      <c r="H37" s="126" t="s">
        <v>597</v>
      </c>
      <c r="I37" s="126" t="s">
        <v>598</v>
      </c>
      <c r="J37" s="126" t="s">
        <v>683</v>
      </c>
      <c r="K37" s="128" t="s">
        <v>684</v>
      </c>
      <c r="L37" s="121" t="s">
        <v>637</v>
      </c>
      <c r="M37" s="123" t="s">
        <v>638</v>
      </c>
      <c r="N37" s="129">
        <v>42614</v>
      </c>
      <c r="O37" s="129">
        <v>43100</v>
      </c>
      <c r="P37" s="129">
        <v>42978</v>
      </c>
      <c r="Q37" s="144">
        <v>75000</v>
      </c>
      <c r="R37" s="132">
        <v>75000</v>
      </c>
      <c r="S37" s="132"/>
      <c r="T37" s="132">
        <v>0</v>
      </c>
      <c r="U37" s="132">
        <v>0</v>
      </c>
      <c r="V37" s="132"/>
      <c r="W37" s="132"/>
      <c r="X37" s="132"/>
      <c r="Y37" s="111">
        <v>75000</v>
      </c>
      <c r="Z37" s="133">
        <f t="shared" si="9"/>
        <v>75000</v>
      </c>
      <c r="AA37" s="133">
        <f t="shared" si="10"/>
        <v>0</v>
      </c>
      <c r="AB37" s="141"/>
      <c r="AC37" s="132" t="s">
        <v>602</v>
      </c>
      <c r="AD37" s="132" t="s">
        <v>602</v>
      </c>
      <c r="AE37" s="132" t="s">
        <v>602</v>
      </c>
      <c r="AF37" s="132" t="s">
        <v>602</v>
      </c>
      <c r="AG37" s="132" t="s">
        <v>602</v>
      </c>
      <c r="AH37" s="132"/>
      <c r="AI37" s="111">
        <v>0</v>
      </c>
      <c r="AJ37" s="134">
        <f t="shared" si="8"/>
        <v>0</v>
      </c>
      <c r="AK37" s="134">
        <f t="shared" si="3"/>
        <v>0</v>
      </c>
      <c r="AL37" s="142"/>
      <c r="AM37" s="132">
        <v>0</v>
      </c>
      <c r="AN37" s="132">
        <v>0</v>
      </c>
      <c r="AO37" s="132">
        <v>0</v>
      </c>
      <c r="AP37" s="132">
        <v>0</v>
      </c>
      <c r="AQ37" s="132">
        <v>0</v>
      </c>
      <c r="AR37" s="132">
        <v>0</v>
      </c>
      <c r="AS37" s="116">
        <v>0</v>
      </c>
      <c r="AT37" s="134">
        <f t="shared" si="7"/>
        <v>0</v>
      </c>
      <c r="AU37" s="134">
        <f t="shared" si="4"/>
        <v>0</v>
      </c>
      <c r="AV37" s="142"/>
      <c r="AW37" s="132" t="s">
        <v>602</v>
      </c>
      <c r="AX37" s="132" t="s">
        <v>602</v>
      </c>
      <c r="AY37" s="132" t="s">
        <v>602</v>
      </c>
      <c r="AZ37" s="132" t="s">
        <v>602</v>
      </c>
      <c r="BA37" s="132" t="s">
        <v>602</v>
      </c>
      <c r="BB37" s="116"/>
      <c r="BC37" s="113"/>
      <c r="BD37" s="116"/>
      <c r="BE37" s="113"/>
      <c r="BF37" s="116"/>
      <c r="BG37" s="116"/>
      <c r="BH37" s="137">
        <f t="shared" si="5"/>
        <v>75000</v>
      </c>
      <c r="BI37" s="138">
        <f t="shared" si="6"/>
        <v>0</v>
      </c>
      <c r="BJ37" s="165" t="s">
        <v>759</v>
      </c>
      <c r="BK37" s="91"/>
    </row>
    <row r="38" spans="1:63" ht="15.75">
      <c r="A38" s="123">
        <v>501338</v>
      </c>
      <c r="B38" s="126">
        <v>203442</v>
      </c>
      <c r="C38" s="148" t="s">
        <v>757</v>
      </c>
      <c r="D38" s="148" t="s">
        <v>758</v>
      </c>
      <c r="E38" s="125" t="s">
        <v>756</v>
      </c>
      <c r="F38" s="124" t="s">
        <v>191</v>
      </c>
      <c r="G38" s="127" t="s">
        <v>53</v>
      </c>
      <c r="H38" s="149" t="s">
        <v>628</v>
      </c>
      <c r="I38" s="126" t="s">
        <v>598</v>
      </c>
      <c r="J38" s="126" t="s">
        <v>683</v>
      </c>
      <c r="K38" s="128" t="s">
        <v>684</v>
      </c>
      <c r="L38" s="121" t="s">
        <v>515</v>
      </c>
      <c r="M38" s="123" t="s">
        <v>760</v>
      </c>
      <c r="N38" s="129">
        <v>42614</v>
      </c>
      <c r="O38" s="129">
        <v>43708</v>
      </c>
      <c r="P38" s="129">
        <v>43708</v>
      </c>
      <c r="Q38" s="144">
        <v>267588</v>
      </c>
      <c r="R38" s="150"/>
      <c r="S38" s="132">
        <v>73000</v>
      </c>
      <c r="T38" s="132">
        <v>0</v>
      </c>
      <c r="U38" s="132">
        <v>52000</v>
      </c>
      <c r="V38" s="132"/>
      <c r="W38" s="132">
        <v>5862</v>
      </c>
      <c r="X38" s="132">
        <v>0</v>
      </c>
      <c r="Y38" s="111">
        <v>130862</v>
      </c>
      <c r="Z38" s="133">
        <f t="shared" si="9"/>
        <v>130862</v>
      </c>
      <c r="AA38" s="133">
        <f t="shared" si="10"/>
        <v>0</v>
      </c>
      <c r="AB38" s="141"/>
      <c r="AC38" s="132">
        <v>73000</v>
      </c>
      <c r="AD38" s="132">
        <v>0</v>
      </c>
      <c r="AE38" s="132">
        <v>52002</v>
      </c>
      <c r="AF38" s="132">
        <v>5862</v>
      </c>
      <c r="AG38" s="132">
        <v>0</v>
      </c>
      <c r="AH38" s="132"/>
      <c r="AI38" s="111">
        <v>130864</v>
      </c>
      <c r="AJ38" s="134">
        <f t="shared" si="8"/>
        <v>130864</v>
      </c>
      <c r="AK38" s="134">
        <f t="shared" si="3"/>
        <v>0</v>
      </c>
      <c r="AL38" s="142"/>
      <c r="AM38" s="135">
        <v>0</v>
      </c>
      <c r="AN38" s="135">
        <v>0</v>
      </c>
      <c r="AO38" s="135">
        <v>0</v>
      </c>
      <c r="AP38" s="135"/>
      <c r="AQ38" s="135">
        <v>5862</v>
      </c>
      <c r="AR38" s="135">
        <v>0</v>
      </c>
      <c r="AS38" s="116">
        <v>5862</v>
      </c>
      <c r="AT38" s="134">
        <f t="shared" si="7"/>
        <v>5862</v>
      </c>
      <c r="AU38" s="134">
        <f t="shared" si="4"/>
        <v>0</v>
      </c>
      <c r="AV38" s="142"/>
      <c r="AW38" s="135"/>
      <c r="AX38" s="135"/>
      <c r="AY38" s="135"/>
      <c r="AZ38" s="135"/>
      <c r="BA38" s="135"/>
      <c r="BB38" s="116"/>
      <c r="BC38" s="113"/>
      <c r="BD38" s="116"/>
      <c r="BE38" s="113"/>
      <c r="BF38" s="116"/>
      <c r="BG38" s="116"/>
      <c r="BH38" s="137">
        <f t="shared" si="5"/>
        <v>267588</v>
      </c>
      <c r="BI38" s="138">
        <f t="shared" si="6"/>
        <v>0</v>
      </c>
      <c r="BJ38" s="147"/>
      <c r="BK38" s="91"/>
    </row>
    <row r="39" spans="1:63" ht="15.75">
      <c r="A39" s="123">
        <v>500937</v>
      </c>
      <c r="B39" s="126">
        <v>203561</v>
      </c>
      <c r="C39" s="124" t="s">
        <v>763</v>
      </c>
      <c r="D39" s="124" t="s">
        <v>764</v>
      </c>
      <c r="E39" s="125" t="s">
        <v>762</v>
      </c>
      <c r="F39" s="124" t="s">
        <v>317</v>
      </c>
      <c r="G39" s="127" t="s">
        <v>53</v>
      </c>
      <c r="H39" s="126" t="s">
        <v>597</v>
      </c>
      <c r="I39" s="126" t="s">
        <v>598</v>
      </c>
      <c r="J39" s="126" t="s">
        <v>683</v>
      </c>
      <c r="K39" s="128" t="s">
        <v>684</v>
      </c>
      <c r="L39" s="121" t="s">
        <v>637</v>
      </c>
      <c r="M39" s="123" t="s">
        <v>638</v>
      </c>
      <c r="N39" s="129">
        <v>42248</v>
      </c>
      <c r="O39" s="129">
        <v>42643</v>
      </c>
      <c r="P39" s="129">
        <v>42643</v>
      </c>
      <c r="Q39" s="130">
        <v>40000</v>
      </c>
      <c r="R39" s="132">
        <v>40000</v>
      </c>
      <c r="S39" s="132"/>
      <c r="T39" s="132">
        <v>0</v>
      </c>
      <c r="U39" s="132">
        <v>0</v>
      </c>
      <c r="V39" s="132"/>
      <c r="W39" s="132">
        <v>0</v>
      </c>
      <c r="X39" s="132">
        <v>0</v>
      </c>
      <c r="Y39" s="111">
        <v>40000</v>
      </c>
      <c r="Z39" s="133">
        <f t="shared" si="9"/>
        <v>40000</v>
      </c>
      <c r="AA39" s="133">
        <f t="shared" si="10"/>
        <v>0</v>
      </c>
      <c r="AB39" s="141"/>
      <c r="AC39" s="132" t="s">
        <v>602</v>
      </c>
      <c r="AD39" s="132" t="s">
        <v>602</v>
      </c>
      <c r="AE39" s="132" t="s">
        <v>602</v>
      </c>
      <c r="AF39" s="132" t="s">
        <v>602</v>
      </c>
      <c r="AG39" s="132" t="s">
        <v>602</v>
      </c>
      <c r="AH39" s="132"/>
      <c r="AI39" s="111">
        <v>0</v>
      </c>
      <c r="AJ39" s="134">
        <f t="shared" si="8"/>
        <v>0</v>
      </c>
      <c r="AK39" s="134">
        <f t="shared" si="3"/>
        <v>0</v>
      </c>
      <c r="AL39" s="142"/>
      <c r="AM39" s="132" t="s">
        <v>602</v>
      </c>
      <c r="AN39" s="132" t="s">
        <v>602</v>
      </c>
      <c r="AO39" s="132" t="s">
        <v>602</v>
      </c>
      <c r="AP39" s="132" t="s">
        <v>602</v>
      </c>
      <c r="AQ39" s="132" t="s">
        <v>602</v>
      </c>
      <c r="AR39" s="135" t="s">
        <v>602</v>
      </c>
      <c r="AS39" s="116">
        <v>0</v>
      </c>
      <c r="AT39" s="134">
        <f t="shared" si="7"/>
        <v>0</v>
      </c>
      <c r="AU39" s="134">
        <f t="shared" si="4"/>
        <v>0</v>
      </c>
      <c r="AV39" s="142"/>
      <c r="AW39" s="132" t="s">
        <v>602</v>
      </c>
      <c r="AX39" s="132" t="s">
        <v>602</v>
      </c>
      <c r="AY39" s="132" t="s">
        <v>602</v>
      </c>
      <c r="AZ39" s="132" t="s">
        <v>602</v>
      </c>
      <c r="BA39" s="132" t="s">
        <v>602</v>
      </c>
      <c r="BB39" s="116"/>
      <c r="BC39" s="113"/>
      <c r="BD39" s="116"/>
      <c r="BE39" s="113"/>
      <c r="BF39" s="116"/>
      <c r="BG39" s="116"/>
      <c r="BH39" s="137">
        <f t="shared" si="5"/>
        <v>40000</v>
      </c>
      <c r="BI39" s="138">
        <f t="shared" si="6"/>
        <v>0</v>
      </c>
      <c r="BJ39" s="126"/>
      <c r="BK39" s="91"/>
    </row>
    <row r="40" spans="1:63" ht="15.75">
      <c r="A40" s="123">
        <v>500976</v>
      </c>
      <c r="B40" s="126">
        <v>203561</v>
      </c>
      <c r="C40" s="124" t="s">
        <v>763</v>
      </c>
      <c r="D40" s="124" t="s">
        <v>764</v>
      </c>
      <c r="E40" s="125" t="s">
        <v>762</v>
      </c>
      <c r="F40" s="124" t="s">
        <v>317</v>
      </c>
      <c r="G40" s="127" t="s">
        <v>53</v>
      </c>
      <c r="H40" s="126" t="s">
        <v>597</v>
      </c>
      <c r="I40" s="126" t="s">
        <v>598</v>
      </c>
      <c r="J40" s="126" t="s">
        <v>683</v>
      </c>
      <c r="K40" s="128" t="s">
        <v>684</v>
      </c>
      <c r="L40" s="121" t="s">
        <v>19</v>
      </c>
      <c r="M40" s="123" t="s">
        <v>661</v>
      </c>
      <c r="N40" s="129">
        <v>42522</v>
      </c>
      <c r="O40" s="129">
        <v>43251</v>
      </c>
      <c r="P40" s="129">
        <v>43251</v>
      </c>
      <c r="Q40" s="130">
        <v>150000</v>
      </c>
      <c r="R40" s="132">
        <v>75000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11">
        <v>75000</v>
      </c>
      <c r="Z40" s="133">
        <f t="shared" si="9"/>
        <v>75000</v>
      </c>
      <c r="AA40" s="133">
        <f t="shared" si="10"/>
        <v>0</v>
      </c>
      <c r="AB40" s="132">
        <v>75000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/>
      <c r="AI40" s="111">
        <v>75000</v>
      </c>
      <c r="AJ40" s="134">
        <f t="shared" si="8"/>
        <v>75000</v>
      </c>
      <c r="AK40" s="134">
        <f t="shared" si="3"/>
        <v>0</v>
      </c>
      <c r="AL40" s="145"/>
      <c r="AM40" s="132" t="s">
        <v>602</v>
      </c>
      <c r="AN40" s="132" t="s">
        <v>602</v>
      </c>
      <c r="AO40" s="132" t="s">
        <v>602</v>
      </c>
      <c r="AP40" s="132" t="s">
        <v>602</v>
      </c>
      <c r="AQ40" s="132" t="s">
        <v>602</v>
      </c>
      <c r="AR40" s="135" t="s">
        <v>765</v>
      </c>
      <c r="AS40" s="116">
        <v>0</v>
      </c>
      <c r="AT40" s="134">
        <f t="shared" si="7"/>
        <v>0</v>
      </c>
      <c r="AU40" s="134">
        <f t="shared" si="4"/>
        <v>0</v>
      </c>
      <c r="AV40" s="142"/>
      <c r="AW40" s="135"/>
      <c r="AX40" s="135"/>
      <c r="AY40" s="135"/>
      <c r="AZ40" s="135"/>
      <c r="BA40" s="135"/>
      <c r="BB40" s="116"/>
      <c r="BC40" s="113"/>
      <c r="BD40" s="116"/>
      <c r="BE40" s="113"/>
      <c r="BF40" s="116"/>
      <c r="BG40" s="116"/>
      <c r="BH40" s="137">
        <f t="shared" si="5"/>
        <v>150000</v>
      </c>
      <c r="BI40" s="138">
        <f t="shared" si="6"/>
        <v>0</v>
      </c>
      <c r="BJ40" s="126"/>
      <c r="BK40" s="91"/>
    </row>
    <row r="41" spans="1:63" ht="15.75">
      <c r="A41" s="123">
        <v>501106</v>
      </c>
      <c r="B41" s="126">
        <v>203561</v>
      </c>
      <c r="C41" s="124" t="s">
        <v>763</v>
      </c>
      <c r="D41" s="124" t="s">
        <v>764</v>
      </c>
      <c r="E41" s="125" t="s">
        <v>762</v>
      </c>
      <c r="F41" s="124" t="s">
        <v>317</v>
      </c>
      <c r="G41" s="127" t="s">
        <v>53</v>
      </c>
      <c r="H41" s="126" t="s">
        <v>597</v>
      </c>
      <c r="I41" s="126" t="s">
        <v>598</v>
      </c>
      <c r="J41" s="126" t="s">
        <v>683</v>
      </c>
      <c r="K41" s="128" t="s">
        <v>684</v>
      </c>
      <c r="L41" s="121" t="s">
        <v>652</v>
      </c>
      <c r="M41" s="123" t="s">
        <v>638</v>
      </c>
      <c r="N41" s="129">
        <v>42339</v>
      </c>
      <c r="O41" s="129">
        <v>42551</v>
      </c>
      <c r="P41" s="129">
        <v>42580</v>
      </c>
      <c r="Q41" s="130">
        <v>24992</v>
      </c>
      <c r="R41" s="132">
        <v>24992</v>
      </c>
      <c r="S41" s="132">
        <v>0</v>
      </c>
      <c r="T41" s="132">
        <v>0</v>
      </c>
      <c r="U41" s="132">
        <v>0</v>
      </c>
      <c r="V41" s="132"/>
      <c r="W41" s="132">
        <v>0</v>
      </c>
      <c r="X41" s="132">
        <v>0</v>
      </c>
      <c r="Y41" s="111">
        <v>24992</v>
      </c>
      <c r="Z41" s="133">
        <f t="shared" si="9"/>
        <v>24992</v>
      </c>
      <c r="AA41" s="133">
        <f t="shared" si="10"/>
        <v>0</v>
      </c>
      <c r="AB41" s="141"/>
      <c r="AC41" s="132" t="s">
        <v>602</v>
      </c>
      <c r="AD41" s="132" t="s">
        <v>602</v>
      </c>
      <c r="AE41" s="132" t="s">
        <v>602</v>
      </c>
      <c r="AF41" s="132" t="s">
        <v>602</v>
      </c>
      <c r="AG41" s="132" t="s">
        <v>602</v>
      </c>
      <c r="AH41" s="132"/>
      <c r="AI41" s="111">
        <v>0</v>
      </c>
      <c r="AJ41" s="134">
        <f t="shared" si="8"/>
        <v>0</v>
      </c>
      <c r="AK41" s="134">
        <f t="shared" si="3"/>
        <v>0</v>
      </c>
      <c r="AL41" s="142"/>
      <c r="AM41" s="132" t="s">
        <v>602</v>
      </c>
      <c r="AN41" s="132" t="s">
        <v>602</v>
      </c>
      <c r="AO41" s="132" t="s">
        <v>602</v>
      </c>
      <c r="AP41" s="132" t="s">
        <v>602</v>
      </c>
      <c r="AQ41" s="132" t="s">
        <v>602</v>
      </c>
      <c r="AR41" s="135" t="s">
        <v>602</v>
      </c>
      <c r="AS41" s="116">
        <v>0</v>
      </c>
      <c r="AT41" s="134">
        <f t="shared" ref="AT41:AT72" si="11">SUM(AL41:AR41)</f>
        <v>0</v>
      </c>
      <c r="AU41" s="134">
        <f t="shared" si="4"/>
        <v>0</v>
      </c>
      <c r="AV41" s="142"/>
      <c r="AW41" s="135"/>
      <c r="AX41" s="135"/>
      <c r="AY41" s="135"/>
      <c r="AZ41" s="135"/>
      <c r="BA41" s="135"/>
      <c r="BB41" s="116"/>
      <c r="BC41" s="113"/>
      <c r="BD41" s="116"/>
      <c r="BE41" s="113"/>
      <c r="BF41" s="116"/>
      <c r="BG41" s="116"/>
      <c r="BH41" s="137">
        <f t="shared" si="5"/>
        <v>24992</v>
      </c>
      <c r="BI41" s="138">
        <f t="shared" si="6"/>
        <v>0</v>
      </c>
      <c r="BJ41" s="126" t="s">
        <v>766</v>
      </c>
      <c r="BK41" s="91"/>
    </row>
    <row r="42" spans="1:63" ht="15.75">
      <c r="A42" s="123">
        <v>501342</v>
      </c>
      <c r="B42" s="126">
        <v>203561</v>
      </c>
      <c r="C42" s="124" t="s">
        <v>763</v>
      </c>
      <c r="D42" s="124" t="s">
        <v>764</v>
      </c>
      <c r="E42" s="125" t="s">
        <v>762</v>
      </c>
      <c r="F42" s="124" t="s">
        <v>317</v>
      </c>
      <c r="G42" s="127" t="s">
        <v>53</v>
      </c>
      <c r="H42" s="126" t="s">
        <v>628</v>
      </c>
      <c r="I42" s="126" t="s">
        <v>598</v>
      </c>
      <c r="J42" s="126" t="s">
        <v>683</v>
      </c>
      <c r="K42" s="128" t="s">
        <v>684</v>
      </c>
      <c r="L42" s="121" t="s">
        <v>515</v>
      </c>
      <c r="M42" s="123" t="s">
        <v>767</v>
      </c>
      <c r="N42" s="129">
        <v>42614</v>
      </c>
      <c r="O42" s="129">
        <v>44286</v>
      </c>
      <c r="P42" s="129">
        <v>44286</v>
      </c>
      <c r="Q42" s="130">
        <v>217527</v>
      </c>
      <c r="R42" s="113"/>
      <c r="S42" s="132">
        <v>55000</v>
      </c>
      <c r="T42" s="132">
        <v>0</v>
      </c>
      <c r="U42" s="132">
        <v>12589</v>
      </c>
      <c r="V42" s="132"/>
      <c r="W42" s="132">
        <v>4920</v>
      </c>
      <c r="X42" s="132">
        <v>0</v>
      </c>
      <c r="Y42" s="111">
        <v>72509</v>
      </c>
      <c r="Z42" s="133">
        <f t="shared" si="9"/>
        <v>72509</v>
      </c>
      <c r="AA42" s="133">
        <f t="shared" si="10"/>
        <v>0</v>
      </c>
      <c r="AB42" s="141"/>
      <c r="AC42" s="132">
        <v>55000</v>
      </c>
      <c r="AD42" s="132">
        <v>0</v>
      </c>
      <c r="AE42" s="132">
        <v>12589</v>
      </c>
      <c r="AF42" s="132">
        <v>4920</v>
      </c>
      <c r="AG42" s="132">
        <v>0</v>
      </c>
      <c r="AH42" s="132"/>
      <c r="AI42" s="111">
        <v>72509</v>
      </c>
      <c r="AJ42" s="134">
        <f t="shared" si="8"/>
        <v>72509</v>
      </c>
      <c r="AK42" s="134">
        <f t="shared" si="3"/>
        <v>0</v>
      </c>
      <c r="AL42" s="142"/>
      <c r="AM42" s="135">
        <v>55000</v>
      </c>
      <c r="AN42" s="135">
        <v>0</v>
      </c>
      <c r="AO42" s="135">
        <v>12586</v>
      </c>
      <c r="AP42" s="135"/>
      <c r="AQ42" s="135">
        <v>4920</v>
      </c>
      <c r="AR42" s="135">
        <v>0</v>
      </c>
      <c r="AS42" s="116">
        <v>72509</v>
      </c>
      <c r="AT42" s="134">
        <f t="shared" si="11"/>
        <v>72506</v>
      </c>
      <c r="AU42" s="134">
        <f t="shared" si="4"/>
        <v>-3</v>
      </c>
      <c r="AV42" s="142"/>
      <c r="AW42" s="135"/>
      <c r="AX42" s="135"/>
      <c r="AY42" s="135"/>
      <c r="AZ42" s="135"/>
      <c r="BA42" s="135"/>
      <c r="BB42" s="116"/>
      <c r="BC42" s="113"/>
      <c r="BD42" s="116"/>
      <c r="BE42" s="113"/>
      <c r="BF42" s="116"/>
      <c r="BG42" s="116"/>
      <c r="BH42" s="137">
        <f t="shared" si="5"/>
        <v>217527</v>
      </c>
      <c r="BI42" s="138">
        <f t="shared" si="6"/>
        <v>0</v>
      </c>
      <c r="BJ42" s="126"/>
      <c r="BK42" s="91"/>
    </row>
    <row r="43" spans="1:63" ht="15.75">
      <c r="A43" s="123">
        <v>501347</v>
      </c>
      <c r="B43" s="126">
        <v>203561</v>
      </c>
      <c r="C43" s="124" t="s">
        <v>763</v>
      </c>
      <c r="D43" s="124" t="s">
        <v>764</v>
      </c>
      <c r="E43" s="125" t="s">
        <v>762</v>
      </c>
      <c r="F43" s="124" t="s">
        <v>317</v>
      </c>
      <c r="G43" s="127" t="s">
        <v>53</v>
      </c>
      <c r="H43" s="126" t="s">
        <v>597</v>
      </c>
      <c r="I43" s="126" t="s">
        <v>598</v>
      </c>
      <c r="J43" s="126" t="s">
        <v>683</v>
      </c>
      <c r="K43" s="128" t="s">
        <v>684</v>
      </c>
      <c r="L43" s="121" t="s">
        <v>515</v>
      </c>
      <c r="M43" s="123" t="s">
        <v>768</v>
      </c>
      <c r="N43" s="129">
        <v>42614</v>
      </c>
      <c r="O43" s="129">
        <v>43708</v>
      </c>
      <c r="P43" s="129">
        <v>43343</v>
      </c>
      <c r="Q43" s="130">
        <v>255570</v>
      </c>
      <c r="R43" s="113"/>
      <c r="S43" s="132">
        <v>52500</v>
      </c>
      <c r="T43" s="132">
        <v>0</v>
      </c>
      <c r="U43" s="132">
        <v>17500</v>
      </c>
      <c r="V43" s="132"/>
      <c r="W43" s="132">
        <v>10190</v>
      </c>
      <c r="X43" s="132">
        <v>5000</v>
      </c>
      <c r="Y43" s="111">
        <v>85190</v>
      </c>
      <c r="Z43" s="133">
        <f t="shared" si="9"/>
        <v>85190</v>
      </c>
      <c r="AA43" s="133">
        <f t="shared" si="10"/>
        <v>0</v>
      </c>
      <c r="AB43" s="141"/>
      <c r="AC43" s="132">
        <v>52500</v>
      </c>
      <c r="AD43" s="132">
        <v>0</v>
      </c>
      <c r="AE43" s="132">
        <v>17500</v>
      </c>
      <c r="AF43" s="132">
        <v>10190</v>
      </c>
      <c r="AG43" s="132">
        <v>5000</v>
      </c>
      <c r="AH43" s="132"/>
      <c r="AI43" s="111">
        <v>85190</v>
      </c>
      <c r="AJ43" s="134">
        <f t="shared" si="8"/>
        <v>85190</v>
      </c>
      <c r="AK43" s="134">
        <f t="shared" si="3"/>
        <v>0</v>
      </c>
      <c r="AL43" s="142"/>
      <c r="AM43" s="135">
        <v>52500</v>
      </c>
      <c r="AN43" s="135">
        <v>0</v>
      </c>
      <c r="AO43" s="135">
        <v>17500</v>
      </c>
      <c r="AP43" s="135"/>
      <c r="AQ43" s="135">
        <v>10190</v>
      </c>
      <c r="AR43" s="135">
        <v>5000</v>
      </c>
      <c r="AS43" s="116">
        <f>SUM(AM43:AR43)</f>
        <v>85190</v>
      </c>
      <c r="AT43" s="134">
        <f t="shared" si="11"/>
        <v>85190</v>
      </c>
      <c r="AU43" s="134">
        <f t="shared" si="4"/>
        <v>0</v>
      </c>
      <c r="AV43" s="142"/>
      <c r="AW43" s="135"/>
      <c r="AX43" s="135"/>
      <c r="AY43" s="135"/>
      <c r="AZ43" s="135"/>
      <c r="BA43" s="135"/>
      <c r="BB43" s="116"/>
      <c r="BC43" s="113"/>
      <c r="BD43" s="116"/>
      <c r="BE43" s="113"/>
      <c r="BF43" s="116"/>
      <c r="BG43" s="116"/>
      <c r="BH43" s="137">
        <f t="shared" si="5"/>
        <v>255570</v>
      </c>
      <c r="BI43" s="138">
        <f t="shared" si="6"/>
        <v>0</v>
      </c>
      <c r="BJ43" s="126"/>
      <c r="BK43" s="91"/>
    </row>
    <row r="44" spans="1:63" ht="15.75">
      <c r="A44" s="139">
        <v>507777</v>
      </c>
      <c r="B44" s="126">
        <v>203561</v>
      </c>
      <c r="C44" s="124" t="s">
        <v>763</v>
      </c>
      <c r="D44" s="124" t="s">
        <v>764</v>
      </c>
      <c r="E44" s="124" t="s">
        <v>762</v>
      </c>
      <c r="F44" s="124" t="s">
        <v>317</v>
      </c>
      <c r="G44" s="127" t="s">
        <v>53</v>
      </c>
      <c r="H44" s="126" t="s">
        <v>628</v>
      </c>
      <c r="I44" s="126" t="s">
        <v>598</v>
      </c>
      <c r="J44" s="126" t="s">
        <v>683</v>
      </c>
      <c r="K44" s="128" t="s">
        <v>684</v>
      </c>
      <c r="L44" s="121" t="s">
        <v>519</v>
      </c>
      <c r="M44" s="123" t="s">
        <v>769</v>
      </c>
      <c r="N44" s="129">
        <v>43709</v>
      </c>
      <c r="O44" s="129">
        <v>44530</v>
      </c>
      <c r="P44" s="129">
        <v>44530</v>
      </c>
      <c r="Q44" s="130">
        <f>60589+28475+89064</f>
        <v>178128</v>
      </c>
      <c r="R44" s="113"/>
      <c r="S44" s="132">
        <v>40320</v>
      </c>
      <c r="T44" s="132">
        <v>0</v>
      </c>
      <c r="U44" s="132">
        <v>36720</v>
      </c>
      <c r="V44" s="132">
        <v>2880</v>
      </c>
      <c r="W44" s="132">
        <v>9144</v>
      </c>
      <c r="X44" s="132">
        <v>0</v>
      </c>
      <c r="Y44" s="111">
        <v>89064</v>
      </c>
      <c r="Z44" s="133">
        <f t="shared" si="9"/>
        <v>89064</v>
      </c>
      <c r="AA44" s="133">
        <f t="shared" si="10"/>
        <v>0</v>
      </c>
      <c r="AB44" s="141"/>
      <c r="AC44" s="132">
        <v>40320</v>
      </c>
      <c r="AD44" s="132">
        <v>0</v>
      </c>
      <c r="AE44" s="132">
        <v>36720</v>
      </c>
      <c r="AF44" s="132">
        <v>2880</v>
      </c>
      <c r="AG44" s="132">
        <v>9144</v>
      </c>
      <c r="AH44" s="132">
        <v>0</v>
      </c>
      <c r="AI44" s="111">
        <v>89064</v>
      </c>
      <c r="AJ44" s="134">
        <f t="shared" si="8"/>
        <v>89064</v>
      </c>
      <c r="AK44" s="134">
        <f t="shared" si="3"/>
        <v>0</v>
      </c>
      <c r="AL44" s="142"/>
      <c r="AM44" s="132">
        <v>40320</v>
      </c>
      <c r="AN44" s="132">
        <v>0</v>
      </c>
      <c r="AO44" s="132">
        <v>36720</v>
      </c>
      <c r="AP44" s="132">
        <v>2880</v>
      </c>
      <c r="AQ44" s="132">
        <v>9144</v>
      </c>
      <c r="AR44" s="132">
        <v>0</v>
      </c>
      <c r="AS44" s="116">
        <f>SUM(AM44:AR44)</f>
        <v>89064</v>
      </c>
      <c r="AT44" s="134">
        <f t="shared" si="11"/>
        <v>89064</v>
      </c>
      <c r="AU44" s="134">
        <f t="shared" si="4"/>
        <v>0</v>
      </c>
      <c r="AV44" s="142"/>
      <c r="AW44" s="135"/>
      <c r="AX44" s="135"/>
      <c r="AY44" s="135"/>
      <c r="AZ44" s="135"/>
      <c r="BA44" s="135"/>
      <c r="BB44" s="116"/>
      <c r="BC44" s="113"/>
      <c r="BD44" s="116"/>
      <c r="BE44" s="113"/>
      <c r="BF44" s="116"/>
      <c r="BG44" s="116"/>
      <c r="BH44" s="137">
        <f t="shared" si="5"/>
        <v>267192</v>
      </c>
      <c r="BI44" s="138">
        <f t="shared" si="6"/>
        <v>89064</v>
      </c>
      <c r="BJ44" s="126"/>
      <c r="BK44" s="91"/>
    </row>
    <row r="45" spans="1:63" ht="15.75">
      <c r="A45" s="123">
        <v>500081</v>
      </c>
      <c r="B45" s="126">
        <v>203615</v>
      </c>
      <c r="C45" s="124" t="s">
        <v>772</v>
      </c>
      <c r="D45" s="124" t="s">
        <v>773</v>
      </c>
      <c r="E45" s="125" t="s">
        <v>770</v>
      </c>
      <c r="F45" s="124" t="s">
        <v>771</v>
      </c>
      <c r="G45" s="127" t="s">
        <v>46</v>
      </c>
      <c r="H45" s="126" t="s">
        <v>597</v>
      </c>
      <c r="I45" s="123" t="s">
        <v>703</v>
      </c>
      <c r="J45" s="126" t="s">
        <v>774</v>
      </c>
      <c r="K45" s="126" t="s">
        <v>775</v>
      </c>
      <c r="L45" s="121" t="s">
        <v>637</v>
      </c>
      <c r="M45" s="123" t="s">
        <v>638</v>
      </c>
      <c r="N45" s="129">
        <v>42248</v>
      </c>
      <c r="O45" s="129">
        <v>42643</v>
      </c>
      <c r="P45" s="129">
        <v>42670</v>
      </c>
      <c r="Q45" s="130">
        <v>48300</v>
      </c>
      <c r="R45" s="132">
        <v>48300</v>
      </c>
      <c r="S45" s="132"/>
      <c r="T45" s="132">
        <v>0</v>
      </c>
      <c r="U45" s="132">
        <v>0</v>
      </c>
      <c r="V45" s="132"/>
      <c r="W45" s="132">
        <v>0</v>
      </c>
      <c r="X45" s="132">
        <v>0</v>
      </c>
      <c r="Y45" s="111">
        <v>48300</v>
      </c>
      <c r="Z45" s="133">
        <f t="shared" si="9"/>
        <v>48300</v>
      </c>
      <c r="AA45" s="133">
        <f t="shared" si="10"/>
        <v>0</v>
      </c>
      <c r="AB45" s="141"/>
      <c r="AC45" s="132" t="s">
        <v>602</v>
      </c>
      <c r="AD45" s="132" t="s">
        <v>602</v>
      </c>
      <c r="AE45" s="132" t="s">
        <v>602</v>
      </c>
      <c r="AF45" s="132" t="s">
        <v>602</v>
      </c>
      <c r="AG45" s="132" t="s">
        <v>602</v>
      </c>
      <c r="AH45" s="132"/>
      <c r="AI45" s="111">
        <v>0</v>
      </c>
      <c r="AJ45" s="134">
        <f t="shared" si="8"/>
        <v>0</v>
      </c>
      <c r="AK45" s="134">
        <f t="shared" si="3"/>
        <v>0</v>
      </c>
      <c r="AL45" s="142"/>
      <c r="AM45" s="132" t="s">
        <v>602</v>
      </c>
      <c r="AN45" s="132" t="s">
        <v>602</v>
      </c>
      <c r="AO45" s="132" t="s">
        <v>602</v>
      </c>
      <c r="AP45" s="132" t="s">
        <v>602</v>
      </c>
      <c r="AQ45" s="132" t="s">
        <v>602</v>
      </c>
      <c r="AR45" s="135" t="s">
        <v>602</v>
      </c>
      <c r="AS45" s="116">
        <v>0</v>
      </c>
      <c r="AT45" s="134">
        <f t="shared" si="11"/>
        <v>0</v>
      </c>
      <c r="AU45" s="134">
        <f t="shared" si="4"/>
        <v>0</v>
      </c>
      <c r="AV45" s="142"/>
      <c r="AW45" s="132" t="s">
        <v>602</v>
      </c>
      <c r="AX45" s="132" t="s">
        <v>602</v>
      </c>
      <c r="AY45" s="132" t="s">
        <v>602</v>
      </c>
      <c r="AZ45" s="132" t="s">
        <v>602</v>
      </c>
      <c r="BA45" s="132" t="s">
        <v>602</v>
      </c>
      <c r="BB45" s="116"/>
      <c r="BC45" s="113"/>
      <c r="BD45" s="116"/>
      <c r="BE45" s="113"/>
      <c r="BF45" s="116"/>
      <c r="BG45" s="116"/>
      <c r="BH45" s="137">
        <f t="shared" si="5"/>
        <v>48300</v>
      </c>
      <c r="BI45" s="138">
        <f t="shared" si="6"/>
        <v>0</v>
      </c>
      <c r="BJ45" s="126"/>
      <c r="BK45" s="91"/>
    </row>
    <row r="46" spans="1:63" ht="15.75">
      <c r="A46" s="123">
        <v>501346</v>
      </c>
      <c r="B46" s="126">
        <v>203615</v>
      </c>
      <c r="C46" s="124" t="s">
        <v>772</v>
      </c>
      <c r="D46" s="124" t="s">
        <v>773</v>
      </c>
      <c r="E46" s="125" t="s">
        <v>770</v>
      </c>
      <c r="F46" s="124" t="s">
        <v>771</v>
      </c>
      <c r="G46" s="127" t="s">
        <v>46</v>
      </c>
      <c r="H46" s="126" t="s">
        <v>597</v>
      </c>
      <c r="I46" s="123" t="s">
        <v>703</v>
      </c>
      <c r="J46" s="126" t="s">
        <v>774</v>
      </c>
      <c r="K46" s="126" t="s">
        <v>775</v>
      </c>
      <c r="L46" s="121" t="s">
        <v>515</v>
      </c>
      <c r="M46" s="123" t="s">
        <v>744</v>
      </c>
      <c r="N46" s="129">
        <v>42614</v>
      </c>
      <c r="O46" s="129">
        <v>43830</v>
      </c>
      <c r="P46" s="129">
        <v>43830</v>
      </c>
      <c r="Q46" s="130">
        <v>595000</v>
      </c>
      <c r="R46" s="113"/>
      <c r="S46" s="132">
        <v>123000</v>
      </c>
      <c r="T46" s="132">
        <v>14273</v>
      </c>
      <c r="U46" s="132">
        <v>52727</v>
      </c>
      <c r="V46" s="132"/>
      <c r="W46" s="132">
        <v>5000</v>
      </c>
      <c r="X46" s="132">
        <v>0</v>
      </c>
      <c r="Y46" s="111">
        <f>SUM(S46:X46)</f>
        <v>195000</v>
      </c>
      <c r="Z46" s="133">
        <f t="shared" si="9"/>
        <v>195000</v>
      </c>
      <c r="AA46" s="133">
        <f t="shared" si="10"/>
        <v>0</v>
      </c>
      <c r="AB46" s="141"/>
      <c r="AC46" s="132">
        <v>123000</v>
      </c>
      <c r="AD46" s="132">
        <v>0</v>
      </c>
      <c r="AE46" s="132">
        <v>67000</v>
      </c>
      <c r="AF46" s="132"/>
      <c r="AG46" s="132">
        <v>5000</v>
      </c>
      <c r="AH46" s="132">
        <v>5000</v>
      </c>
      <c r="AI46" s="111">
        <v>200000</v>
      </c>
      <c r="AJ46" s="134">
        <f t="shared" si="8"/>
        <v>200000</v>
      </c>
      <c r="AK46" s="134">
        <f t="shared" si="3"/>
        <v>0</v>
      </c>
      <c r="AL46" s="142"/>
      <c r="AM46" s="135">
        <v>123000</v>
      </c>
      <c r="AN46" s="135">
        <v>0</v>
      </c>
      <c r="AO46" s="135">
        <v>67000</v>
      </c>
      <c r="AP46" s="135"/>
      <c r="AQ46" s="135">
        <v>5000</v>
      </c>
      <c r="AR46" s="135">
        <v>5000</v>
      </c>
      <c r="AS46" s="116">
        <f>SUM(AM46:AR46)</f>
        <v>200000</v>
      </c>
      <c r="AT46" s="134">
        <f t="shared" si="11"/>
        <v>200000</v>
      </c>
      <c r="AU46" s="134">
        <f t="shared" si="4"/>
        <v>0</v>
      </c>
      <c r="AV46" s="142"/>
      <c r="AW46" s="135"/>
      <c r="AX46" s="135"/>
      <c r="AY46" s="135"/>
      <c r="AZ46" s="135"/>
      <c r="BA46" s="135"/>
      <c r="BB46" s="116"/>
      <c r="BC46" s="113"/>
      <c r="BD46" s="116"/>
      <c r="BE46" s="113"/>
      <c r="BF46" s="116"/>
      <c r="BG46" s="116"/>
      <c r="BH46" s="137">
        <f t="shared" si="5"/>
        <v>595000</v>
      </c>
      <c r="BI46" s="138">
        <f t="shared" si="6"/>
        <v>0</v>
      </c>
      <c r="BJ46" s="126" t="s">
        <v>776</v>
      </c>
      <c r="BK46" s="91"/>
    </row>
    <row r="47" spans="1:63" ht="15.75">
      <c r="A47" s="123">
        <v>500458</v>
      </c>
      <c r="B47" s="126">
        <v>203628</v>
      </c>
      <c r="C47" s="124" t="s">
        <v>778</v>
      </c>
      <c r="D47" s="124" t="s">
        <v>779</v>
      </c>
      <c r="E47" s="125" t="s">
        <v>777</v>
      </c>
      <c r="F47" s="124" t="s">
        <v>189</v>
      </c>
      <c r="G47" s="127" t="s">
        <v>53</v>
      </c>
      <c r="H47" s="126" t="s">
        <v>597</v>
      </c>
      <c r="I47" s="126" t="s">
        <v>598</v>
      </c>
      <c r="J47" s="126" t="s">
        <v>683</v>
      </c>
      <c r="K47" s="128" t="s">
        <v>684</v>
      </c>
      <c r="L47" s="121" t="s">
        <v>637</v>
      </c>
      <c r="M47" s="123" t="s">
        <v>638</v>
      </c>
      <c r="N47" s="129">
        <v>43119</v>
      </c>
      <c r="O47" s="129">
        <v>43100</v>
      </c>
      <c r="P47" s="129">
        <v>42735</v>
      </c>
      <c r="Q47" s="130">
        <v>262333</v>
      </c>
      <c r="R47" s="132">
        <v>262333</v>
      </c>
      <c r="S47" s="132"/>
      <c r="T47" s="132">
        <v>0</v>
      </c>
      <c r="U47" s="132">
        <v>0</v>
      </c>
      <c r="V47" s="132"/>
      <c r="W47" s="132">
        <v>0</v>
      </c>
      <c r="X47" s="132">
        <v>0</v>
      </c>
      <c r="Y47" s="111">
        <v>262333</v>
      </c>
      <c r="Z47" s="133">
        <f t="shared" si="9"/>
        <v>262333</v>
      </c>
      <c r="AA47" s="133">
        <f t="shared" si="10"/>
        <v>0</v>
      </c>
      <c r="AB47" s="141"/>
      <c r="AC47" s="132" t="s">
        <v>602</v>
      </c>
      <c r="AD47" s="132" t="s">
        <v>602</v>
      </c>
      <c r="AE47" s="132" t="s">
        <v>602</v>
      </c>
      <c r="AF47" s="132" t="s">
        <v>602</v>
      </c>
      <c r="AG47" s="132" t="s">
        <v>602</v>
      </c>
      <c r="AH47" s="132"/>
      <c r="AI47" s="111">
        <v>0</v>
      </c>
      <c r="AJ47" s="134">
        <f t="shared" si="8"/>
        <v>0</v>
      </c>
      <c r="AK47" s="134">
        <f t="shared" si="3"/>
        <v>0</v>
      </c>
      <c r="AL47" s="142"/>
      <c r="AM47" s="132">
        <v>0</v>
      </c>
      <c r="AN47" s="132">
        <v>0</v>
      </c>
      <c r="AO47" s="132">
        <v>0</v>
      </c>
      <c r="AP47" s="132">
        <v>0</v>
      </c>
      <c r="AQ47" s="132">
        <v>0</v>
      </c>
      <c r="AR47" s="132">
        <v>0</v>
      </c>
      <c r="AS47" s="116">
        <v>0</v>
      </c>
      <c r="AT47" s="134">
        <f t="shared" si="11"/>
        <v>0</v>
      </c>
      <c r="AU47" s="134">
        <f t="shared" si="4"/>
        <v>0</v>
      </c>
      <c r="AV47" s="142"/>
      <c r="AW47" s="132" t="s">
        <v>602</v>
      </c>
      <c r="AX47" s="132" t="s">
        <v>602</v>
      </c>
      <c r="AY47" s="132" t="s">
        <v>602</v>
      </c>
      <c r="AZ47" s="132" t="s">
        <v>602</v>
      </c>
      <c r="BA47" s="132" t="s">
        <v>602</v>
      </c>
      <c r="BB47" s="116"/>
      <c r="BC47" s="113"/>
      <c r="BD47" s="116"/>
      <c r="BE47" s="113"/>
      <c r="BF47" s="116"/>
      <c r="BG47" s="116"/>
      <c r="BH47" s="137">
        <f t="shared" si="5"/>
        <v>262333</v>
      </c>
      <c r="BI47" s="138">
        <f t="shared" si="6"/>
        <v>0</v>
      </c>
      <c r="BJ47" s="126" t="s">
        <v>759</v>
      </c>
      <c r="BK47" s="91"/>
    </row>
    <row r="48" spans="1:63" ht="15.75">
      <c r="A48" s="123">
        <v>501338</v>
      </c>
      <c r="B48" s="126">
        <v>203628</v>
      </c>
      <c r="C48" s="124" t="s">
        <v>778</v>
      </c>
      <c r="D48" s="124" t="s">
        <v>779</v>
      </c>
      <c r="E48" s="125" t="s">
        <v>777</v>
      </c>
      <c r="F48" s="124" t="s">
        <v>189</v>
      </c>
      <c r="G48" s="127" t="s">
        <v>53</v>
      </c>
      <c r="H48" s="126" t="s">
        <v>597</v>
      </c>
      <c r="I48" s="126" t="s">
        <v>598</v>
      </c>
      <c r="J48" s="126" t="s">
        <v>683</v>
      </c>
      <c r="K48" s="128" t="s">
        <v>684</v>
      </c>
      <c r="L48" s="121" t="s">
        <v>515</v>
      </c>
      <c r="M48" s="123" t="s">
        <v>760</v>
      </c>
      <c r="N48" s="129">
        <v>42614</v>
      </c>
      <c r="O48" s="129">
        <v>43708</v>
      </c>
      <c r="P48" s="129">
        <v>43343</v>
      </c>
      <c r="Q48" s="130">
        <v>640000</v>
      </c>
      <c r="R48" s="113"/>
      <c r="S48" s="132">
        <v>116000</v>
      </c>
      <c r="T48" s="132">
        <v>0</v>
      </c>
      <c r="U48" s="132">
        <v>74000</v>
      </c>
      <c r="V48" s="132"/>
      <c r="W48" s="132">
        <v>12000</v>
      </c>
      <c r="X48" s="132">
        <v>5000</v>
      </c>
      <c r="Y48" s="111">
        <v>207000</v>
      </c>
      <c r="Z48" s="133">
        <f t="shared" si="9"/>
        <v>207000</v>
      </c>
      <c r="AA48" s="133">
        <f t="shared" si="10"/>
        <v>0</v>
      </c>
      <c r="AB48" s="141"/>
      <c r="AC48" s="132">
        <v>116000</v>
      </c>
      <c r="AD48" s="132">
        <v>0</v>
      </c>
      <c r="AE48" s="132">
        <v>69000</v>
      </c>
      <c r="AF48" s="132">
        <v>12000</v>
      </c>
      <c r="AG48" s="132">
        <v>0</v>
      </c>
      <c r="AH48" s="132"/>
      <c r="AI48" s="111">
        <v>197000</v>
      </c>
      <c r="AJ48" s="134">
        <f t="shared" si="8"/>
        <v>197000</v>
      </c>
      <c r="AK48" s="134">
        <f t="shared" si="3"/>
        <v>0</v>
      </c>
      <c r="AL48" s="142"/>
      <c r="AM48" s="135">
        <v>156000</v>
      </c>
      <c r="AN48" s="135">
        <v>0</v>
      </c>
      <c r="AO48" s="135">
        <v>69000</v>
      </c>
      <c r="AP48" s="135"/>
      <c r="AQ48" s="135">
        <v>11000</v>
      </c>
      <c r="AR48" s="135">
        <v>0</v>
      </c>
      <c r="AS48" s="116">
        <v>236000</v>
      </c>
      <c r="AT48" s="134">
        <f t="shared" si="11"/>
        <v>236000</v>
      </c>
      <c r="AU48" s="134">
        <f t="shared" si="4"/>
        <v>0</v>
      </c>
      <c r="AV48" s="142"/>
      <c r="AW48" s="135"/>
      <c r="AX48" s="135"/>
      <c r="AY48" s="135"/>
      <c r="AZ48" s="135"/>
      <c r="BA48" s="135"/>
      <c r="BB48" s="116"/>
      <c r="BC48" s="113"/>
      <c r="BD48" s="116"/>
      <c r="BE48" s="113"/>
      <c r="BF48" s="116"/>
      <c r="BG48" s="116"/>
      <c r="BH48" s="137">
        <f t="shared" si="5"/>
        <v>640000</v>
      </c>
      <c r="BI48" s="138">
        <f t="shared" si="6"/>
        <v>0</v>
      </c>
      <c r="BJ48" s="126"/>
      <c r="BK48" s="91"/>
    </row>
    <row r="49" spans="1:63" ht="15.75">
      <c r="A49" s="123">
        <v>502057</v>
      </c>
      <c r="B49" s="126">
        <v>203628</v>
      </c>
      <c r="C49" s="124" t="s">
        <v>778</v>
      </c>
      <c r="D49" s="124" t="s">
        <v>779</v>
      </c>
      <c r="E49" s="125" t="s">
        <v>777</v>
      </c>
      <c r="F49" s="124" t="s">
        <v>189</v>
      </c>
      <c r="G49" s="127" t="s">
        <v>53</v>
      </c>
      <c r="H49" s="126" t="s">
        <v>597</v>
      </c>
      <c r="I49" s="126" t="s">
        <v>598</v>
      </c>
      <c r="J49" s="126" t="s">
        <v>683</v>
      </c>
      <c r="K49" s="128" t="s">
        <v>684</v>
      </c>
      <c r="L49" s="121" t="s">
        <v>732</v>
      </c>
      <c r="M49" s="123" t="s">
        <v>780</v>
      </c>
      <c r="N49" s="129">
        <v>42736</v>
      </c>
      <c r="O49" s="129">
        <v>43251</v>
      </c>
      <c r="P49" s="129">
        <v>43616</v>
      </c>
      <c r="Q49" s="130">
        <v>206870</v>
      </c>
      <c r="R49" s="113"/>
      <c r="S49" s="132">
        <v>0</v>
      </c>
      <c r="T49" s="132"/>
      <c r="U49" s="132">
        <v>206870</v>
      </c>
      <c r="V49" s="132"/>
      <c r="W49" s="132">
        <v>0</v>
      </c>
      <c r="X49" s="132">
        <v>0</v>
      </c>
      <c r="Y49" s="111">
        <v>206870</v>
      </c>
      <c r="Z49" s="133">
        <f t="shared" si="9"/>
        <v>206870</v>
      </c>
      <c r="AA49" s="133">
        <f t="shared" si="10"/>
        <v>0</v>
      </c>
      <c r="AB49" s="141"/>
      <c r="AC49" s="132" t="s">
        <v>602</v>
      </c>
      <c r="AD49" s="132" t="s">
        <v>602</v>
      </c>
      <c r="AE49" s="132" t="s">
        <v>602</v>
      </c>
      <c r="AF49" s="132" t="s">
        <v>602</v>
      </c>
      <c r="AG49" s="132" t="s">
        <v>602</v>
      </c>
      <c r="AH49" s="132"/>
      <c r="AI49" s="111">
        <v>0</v>
      </c>
      <c r="AJ49" s="134">
        <f t="shared" si="8"/>
        <v>0</v>
      </c>
      <c r="AK49" s="134">
        <f t="shared" si="3"/>
        <v>0</v>
      </c>
      <c r="AL49" s="142"/>
      <c r="AM49" s="132">
        <v>0</v>
      </c>
      <c r="AN49" s="132">
        <v>0</v>
      </c>
      <c r="AO49" s="132">
        <v>0</v>
      </c>
      <c r="AP49" s="132">
        <v>0</v>
      </c>
      <c r="AQ49" s="132">
        <v>0</v>
      </c>
      <c r="AR49" s="132">
        <v>0</v>
      </c>
      <c r="AS49" s="116">
        <v>0</v>
      </c>
      <c r="AT49" s="134">
        <f t="shared" si="11"/>
        <v>0</v>
      </c>
      <c r="AU49" s="134">
        <f t="shared" si="4"/>
        <v>0</v>
      </c>
      <c r="AV49" s="142"/>
      <c r="AW49" s="132" t="s">
        <v>602</v>
      </c>
      <c r="AX49" s="132" t="s">
        <v>602</v>
      </c>
      <c r="AY49" s="132" t="s">
        <v>602</v>
      </c>
      <c r="AZ49" s="132" t="s">
        <v>602</v>
      </c>
      <c r="BA49" s="132" t="s">
        <v>602</v>
      </c>
      <c r="BB49" s="116">
        <f>SUM(AW49:BA49)</f>
        <v>0</v>
      </c>
      <c r="BC49" s="113"/>
      <c r="BD49" s="116"/>
      <c r="BE49" s="113"/>
      <c r="BF49" s="116"/>
      <c r="BG49" s="116"/>
      <c r="BH49" s="137">
        <f t="shared" si="5"/>
        <v>206870</v>
      </c>
      <c r="BI49" s="138">
        <f t="shared" si="6"/>
        <v>0</v>
      </c>
      <c r="BJ49" s="124" t="s">
        <v>781</v>
      </c>
      <c r="BK49" s="91"/>
    </row>
    <row r="50" spans="1:63" ht="15.75">
      <c r="A50" s="139">
        <v>507777</v>
      </c>
      <c r="B50" s="126">
        <v>203628</v>
      </c>
      <c r="C50" s="124" t="s">
        <v>778</v>
      </c>
      <c r="D50" s="124" t="s">
        <v>779</v>
      </c>
      <c r="E50" s="124" t="s">
        <v>777</v>
      </c>
      <c r="F50" s="124" t="s">
        <v>189</v>
      </c>
      <c r="G50" s="127" t="s">
        <v>53</v>
      </c>
      <c r="H50" s="126" t="s">
        <v>597</v>
      </c>
      <c r="I50" s="126" t="s">
        <v>598</v>
      </c>
      <c r="J50" s="126" t="s">
        <v>683</v>
      </c>
      <c r="K50" s="128" t="s">
        <v>684</v>
      </c>
      <c r="L50" s="121" t="s">
        <v>519</v>
      </c>
      <c r="M50" s="123" t="s">
        <v>769</v>
      </c>
      <c r="N50" s="129">
        <v>43709</v>
      </c>
      <c r="O50" s="129">
        <v>44530</v>
      </c>
      <c r="P50" s="129">
        <v>44530</v>
      </c>
      <c r="Q50" s="130">
        <f>64686+136844+201530</f>
        <v>403060</v>
      </c>
      <c r="R50" s="113"/>
      <c r="S50" s="132">
        <v>91440</v>
      </c>
      <c r="T50" s="132">
        <v>0</v>
      </c>
      <c r="U50" s="132">
        <v>102240</v>
      </c>
      <c r="V50" s="132">
        <v>2000</v>
      </c>
      <c r="W50" s="132">
        <v>3600</v>
      </c>
      <c r="X50" s="132">
        <v>2250</v>
      </c>
      <c r="Y50" s="111">
        <v>201530</v>
      </c>
      <c r="Z50" s="133">
        <f t="shared" si="9"/>
        <v>201530</v>
      </c>
      <c r="AA50" s="133">
        <f t="shared" si="10"/>
        <v>0</v>
      </c>
      <c r="AB50" s="141"/>
      <c r="AC50" s="132">
        <v>91440</v>
      </c>
      <c r="AD50" s="132">
        <v>0</v>
      </c>
      <c r="AE50" s="132">
        <v>102240</v>
      </c>
      <c r="AF50" s="132">
        <v>2000</v>
      </c>
      <c r="AG50" s="132">
        <v>3600</v>
      </c>
      <c r="AH50" s="132">
        <v>2250</v>
      </c>
      <c r="AI50" s="111">
        <v>201530</v>
      </c>
      <c r="AJ50" s="134">
        <f t="shared" si="8"/>
        <v>201530</v>
      </c>
      <c r="AK50" s="134">
        <f t="shared" si="3"/>
        <v>0</v>
      </c>
      <c r="AL50" s="142"/>
      <c r="AM50" s="132">
        <v>91440</v>
      </c>
      <c r="AN50" s="132">
        <v>0</v>
      </c>
      <c r="AO50" s="132">
        <v>102240</v>
      </c>
      <c r="AP50" s="132">
        <v>2000</v>
      </c>
      <c r="AQ50" s="132">
        <v>3600</v>
      </c>
      <c r="AR50" s="132">
        <v>2250</v>
      </c>
      <c r="AS50" s="116">
        <f>SUM(AM50:AR50)</f>
        <v>201530</v>
      </c>
      <c r="AT50" s="134">
        <f t="shared" si="11"/>
        <v>201530</v>
      </c>
      <c r="AU50" s="134">
        <f t="shared" si="4"/>
        <v>0</v>
      </c>
      <c r="AV50" s="142"/>
      <c r="AW50" s="135"/>
      <c r="AX50" s="135"/>
      <c r="AY50" s="135"/>
      <c r="AZ50" s="135"/>
      <c r="BA50" s="135"/>
      <c r="BB50" s="116"/>
      <c r="BC50" s="113"/>
      <c r="BD50" s="116"/>
      <c r="BE50" s="113"/>
      <c r="BF50" s="116"/>
      <c r="BG50" s="116"/>
      <c r="BH50" s="137">
        <f t="shared" si="5"/>
        <v>604590</v>
      </c>
      <c r="BI50" s="138">
        <f t="shared" si="6"/>
        <v>201530</v>
      </c>
      <c r="BJ50" s="126"/>
      <c r="BK50" s="91"/>
    </row>
    <row r="51" spans="1:63" ht="15.75">
      <c r="A51" s="123">
        <v>500484</v>
      </c>
      <c r="B51" s="126">
        <v>203718</v>
      </c>
      <c r="C51" s="124" t="s">
        <v>784</v>
      </c>
      <c r="D51" s="124" t="s">
        <v>785</v>
      </c>
      <c r="E51" s="125" t="s">
        <v>782</v>
      </c>
      <c r="F51" s="124" t="s">
        <v>783</v>
      </c>
      <c r="G51" s="127" t="s">
        <v>46</v>
      </c>
      <c r="H51" s="126" t="s">
        <v>597</v>
      </c>
      <c r="I51" s="123" t="s">
        <v>703</v>
      </c>
      <c r="J51" s="126" t="s">
        <v>704</v>
      </c>
      <c r="K51" s="128" t="s">
        <v>705</v>
      </c>
      <c r="L51" s="121" t="s">
        <v>637</v>
      </c>
      <c r="M51" s="123" t="s">
        <v>638</v>
      </c>
      <c r="N51" s="129">
        <v>43124</v>
      </c>
      <c r="O51" s="129">
        <v>42643</v>
      </c>
      <c r="P51" s="129">
        <v>42668</v>
      </c>
      <c r="Q51" s="130">
        <v>25000</v>
      </c>
      <c r="R51" s="132">
        <v>25000</v>
      </c>
      <c r="S51" s="132"/>
      <c r="T51" s="132">
        <v>0</v>
      </c>
      <c r="U51" s="132">
        <v>0</v>
      </c>
      <c r="V51" s="132"/>
      <c r="W51" s="132">
        <v>0</v>
      </c>
      <c r="X51" s="132">
        <v>0</v>
      </c>
      <c r="Y51" s="111">
        <v>25000</v>
      </c>
      <c r="Z51" s="133">
        <f t="shared" si="9"/>
        <v>25000</v>
      </c>
      <c r="AA51" s="133">
        <f t="shared" si="10"/>
        <v>0</v>
      </c>
      <c r="AB51" s="141"/>
      <c r="AC51" s="132" t="s">
        <v>602</v>
      </c>
      <c r="AD51" s="132" t="s">
        <v>602</v>
      </c>
      <c r="AE51" s="132" t="s">
        <v>602</v>
      </c>
      <c r="AF51" s="132" t="s">
        <v>602</v>
      </c>
      <c r="AG51" s="132" t="s">
        <v>602</v>
      </c>
      <c r="AH51" s="132"/>
      <c r="AI51" s="111">
        <v>0</v>
      </c>
      <c r="AJ51" s="134">
        <f t="shared" si="8"/>
        <v>0</v>
      </c>
      <c r="AK51" s="134">
        <f t="shared" si="3"/>
        <v>0</v>
      </c>
      <c r="AL51" s="142"/>
      <c r="AM51" s="132">
        <v>0</v>
      </c>
      <c r="AN51" s="132">
        <v>0</v>
      </c>
      <c r="AO51" s="132">
        <v>0</v>
      </c>
      <c r="AP51" s="132">
        <v>0</v>
      </c>
      <c r="AQ51" s="132">
        <v>0</v>
      </c>
      <c r="AR51" s="132">
        <v>0</v>
      </c>
      <c r="AS51" s="116">
        <v>0</v>
      </c>
      <c r="AT51" s="134">
        <f t="shared" si="11"/>
        <v>0</v>
      </c>
      <c r="AU51" s="134">
        <f t="shared" si="4"/>
        <v>0</v>
      </c>
      <c r="AV51" s="142"/>
      <c r="AW51" s="132" t="s">
        <v>602</v>
      </c>
      <c r="AX51" s="132" t="s">
        <v>602</v>
      </c>
      <c r="AY51" s="132" t="s">
        <v>602</v>
      </c>
      <c r="AZ51" s="132" t="s">
        <v>602</v>
      </c>
      <c r="BA51" s="132" t="s">
        <v>602</v>
      </c>
      <c r="BB51" s="116"/>
      <c r="BC51" s="113"/>
      <c r="BD51" s="116"/>
      <c r="BE51" s="113"/>
      <c r="BF51" s="116"/>
      <c r="BG51" s="116"/>
      <c r="BH51" s="137">
        <f t="shared" si="5"/>
        <v>25000</v>
      </c>
      <c r="BI51" s="138">
        <f t="shared" si="6"/>
        <v>0</v>
      </c>
      <c r="BJ51" s="126"/>
      <c r="BK51" s="91"/>
    </row>
    <row r="52" spans="1:63" ht="15.75">
      <c r="A52" s="123">
        <v>499470</v>
      </c>
      <c r="B52" s="126">
        <v>203770</v>
      </c>
      <c r="C52" s="124" t="s">
        <v>787</v>
      </c>
      <c r="D52" s="124" t="s">
        <v>678</v>
      </c>
      <c r="E52" s="125" t="s">
        <v>786</v>
      </c>
      <c r="F52" s="124" t="s">
        <v>258</v>
      </c>
      <c r="G52" s="127" t="s">
        <v>46</v>
      </c>
      <c r="H52" s="126" t="s">
        <v>597</v>
      </c>
      <c r="I52" s="126" t="s">
        <v>609</v>
      </c>
      <c r="J52" s="126" t="s">
        <v>610</v>
      </c>
      <c r="K52" s="128" t="s">
        <v>611</v>
      </c>
      <c r="L52" s="121" t="s">
        <v>520</v>
      </c>
      <c r="M52" s="123" t="s">
        <v>638</v>
      </c>
      <c r="N52" s="129">
        <v>42248</v>
      </c>
      <c r="O52" s="129">
        <v>43190</v>
      </c>
      <c r="P52" s="129">
        <v>43190</v>
      </c>
      <c r="Q52" s="130">
        <v>475000</v>
      </c>
      <c r="R52" s="113"/>
      <c r="S52" s="132">
        <v>100000</v>
      </c>
      <c r="T52" s="132">
        <v>0</v>
      </c>
      <c r="U52" s="132">
        <v>0</v>
      </c>
      <c r="V52" s="132"/>
      <c r="W52" s="132">
        <v>0</v>
      </c>
      <c r="X52" s="132">
        <v>0</v>
      </c>
      <c r="Y52" s="111">
        <v>100000</v>
      </c>
      <c r="Z52" s="133">
        <f t="shared" si="9"/>
        <v>100000</v>
      </c>
      <c r="AA52" s="133">
        <f t="shared" si="10"/>
        <v>0</v>
      </c>
      <c r="AB52" s="141"/>
      <c r="AC52" s="132">
        <v>300000</v>
      </c>
      <c r="AD52" s="132">
        <v>0</v>
      </c>
      <c r="AE52" s="132">
        <v>0</v>
      </c>
      <c r="AF52" s="132">
        <v>0</v>
      </c>
      <c r="AG52" s="132">
        <v>0</v>
      </c>
      <c r="AH52" s="132"/>
      <c r="AI52" s="111">
        <v>300000</v>
      </c>
      <c r="AJ52" s="134">
        <f t="shared" si="8"/>
        <v>300000</v>
      </c>
      <c r="AK52" s="134">
        <f t="shared" si="3"/>
        <v>0</v>
      </c>
      <c r="AL52" s="142"/>
      <c r="AM52" s="135">
        <v>75000</v>
      </c>
      <c r="AN52" s="135" t="s">
        <v>602</v>
      </c>
      <c r="AO52" s="135" t="s">
        <v>602</v>
      </c>
      <c r="AP52" s="135"/>
      <c r="AQ52" s="135" t="s">
        <v>602</v>
      </c>
      <c r="AR52" s="135" t="s">
        <v>602</v>
      </c>
      <c r="AS52" s="116">
        <f>SUM(AM52:AR52)</f>
        <v>75000</v>
      </c>
      <c r="AT52" s="134">
        <f t="shared" si="11"/>
        <v>75000</v>
      </c>
      <c r="AU52" s="134">
        <f t="shared" si="4"/>
        <v>0</v>
      </c>
      <c r="AV52" s="142"/>
      <c r="AW52" s="135"/>
      <c r="AX52" s="135"/>
      <c r="AY52" s="135"/>
      <c r="AZ52" s="135"/>
      <c r="BA52" s="135"/>
      <c r="BB52" s="116"/>
      <c r="BC52" s="113"/>
      <c r="BD52" s="116"/>
      <c r="BE52" s="113"/>
      <c r="BF52" s="116"/>
      <c r="BG52" s="116"/>
      <c r="BH52" s="137">
        <f t="shared" si="5"/>
        <v>475000</v>
      </c>
      <c r="BI52" s="138">
        <f t="shared" si="6"/>
        <v>0</v>
      </c>
      <c r="BJ52" s="126"/>
      <c r="BK52" s="91"/>
    </row>
    <row r="53" spans="1:63" ht="15.75">
      <c r="A53" s="123">
        <v>502553</v>
      </c>
      <c r="B53" s="126">
        <v>203770</v>
      </c>
      <c r="C53" s="124" t="s">
        <v>787</v>
      </c>
      <c r="D53" s="124" t="s">
        <v>678</v>
      </c>
      <c r="E53" s="125" t="s">
        <v>786</v>
      </c>
      <c r="F53" s="124" t="s">
        <v>258</v>
      </c>
      <c r="G53" s="127" t="s">
        <v>46</v>
      </c>
      <c r="H53" s="126" t="s">
        <v>597</v>
      </c>
      <c r="I53" s="126" t="s">
        <v>609</v>
      </c>
      <c r="J53" s="126" t="s">
        <v>610</v>
      </c>
      <c r="K53" s="128" t="s">
        <v>611</v>
      </c>
      <c r="L53" s="121" t="s">
        <v>517</v>
      </c>
      <c r="M53" s="123" t="s">
        <v>788</v>
      </c>
      <c r="N53" s="129">
        <v>42826</v>
      </c>
      <c r="O53" s="129">
        <v>43921</v>
      </c>
      <c r="P53" s="129">
        <v>43921</v>
      </c>
      <c r="Q53" s="130">
        <v>150000</v>
      </c>
      <c r="R53" s="113"/>
      <c r="S53" s="132">
        <v>50000</v>
      </c>
      <c r="T53" s="132">
        <v>0</v>
      </c>
      <c r="U53" s="132">
        <v>0</v>
      </c>
      <c r="V53" s="132"/>
      <c r="W53" s="132">
        <v>0</v>
      </c>
      <c r="X53" s="132">
        <v>0</v>
      </c>
      <c r="Y53" s="111">
        <v>50000</v>
      </c>
      <c r="Z53" s="133">
        <f t="shared" si="9"/>
        <v>50000</v>
      </c>
      <c r="AA53" s="133">
        <f t="shared" si="10"/>
        <v>0</v>
      </c>
      <c r="AB53" s="141"/>
      <c r="AC53" s="132">
        <v>50000</v>
      </c>
      <c r="AD53" s="132">
        <v>0</v>
      </c>
      <c r="AE53" s="132">
        <v>0</v>
      </c>
      <c r="AF53" s="132">
        <v>0</v>
      </c>
      <c r="AG53" s="132">
        <v>0</v>
      </c>
      <c r="AH53" s="132"/>
      <c r="AI53" s="111">
        <v>50000</v>
      </c>
      <c r="AJ53" s="134">
        <f t="shared" si="8"/>
        <v>50000</v>
      </c>
      <c r="AK53" s="134">
        <f t="shared" si="3"/>
        <v>0</v>
      </c>
      <c r="AL53" s="142"/>
      <c r="AM53" s="132">
        <v>50000</v>
      </c>
      <c r="AN53" s="132">
        <v>0</v>
      </c>
      <c r="AO53" s="132">
        <v>0</v>
      </c>
      <c r="AP53" s="132">
        <v>0</v>
      </c>
      <c r="AQ53" s="132">
        <v>0</v>
      </c>
      <c r="AR53" s="135">
        <v>0</v>
      </c>
      <c r="AS53" s="116">
        <v>50000</v>
      </c>
      <c r="AT53" s="134">
        <f t="shared" si="11"/>
        <v>50000</v>
      </c>
      <c r="AU53" s="134">
        <f t="shared" si="4"/>
        <v>0</v>
      </c>
      <c r="AV53" s="142"/>
      <c r="AW53" s="135" t="s">
        <v>602</v>
      </c>
      <c r="AX53" s="135" t="s">
        <v>602</v>
      </c>
      <c r="AY53" s="135" t="s">
        <v>602</v>
      </c>
      <c r="AZ53" s="135" t="s">
        <v>602</v>
      </c>
      <c r="BA53" s="135" t="s">
        <v>602</v>
      </c>
      <c r="BB53" s="116">
        <f>SUM(AU53:BA53)</f>
        <v>0</v>
      </c>
      <c r="BC53" s="113"/>
      <c r="BD53" s="116"/>
      <c r="BE53" s="113"/>
      <c r="BF53" s="116"/>
      <c r="BG53" s="116"/>
      <c r="BH53" s="137">
        <f t="shared" si="5"/>
        <v>150000</v>
      </c>
      <c r="BI53" s="138">
        <f t="shared" si="6"/>
        <v>0</v>
      </c>
      <c r="BJ53" s="126" t="s">
        <v>789</v>
      </c>
      <c r="BK53" s="91"/>
    </row>
    <row r="54" spans="1:63" ht="15.75">
      <c r="A54" s="123">
        <v>506754</v>
      </c>
      <c r="B54" s="126">
        <v>203770</v>
      </c>
      <c r="C54" s="124" t="s">
        <v>787</v>
      </c>
      <c r="D54" s="124" t="s">
        <v>678</v>
      </c>
      <c r="E54" s="125" t="s">
        <v>786</v>
      </c>
      <c r="F54" s="124" t="s">
        <v>258</v>
      </c>
      <c r="G54" s="127" t="s">
        <v>260</v>
      </c>
      <c r="H54" s="126" t="s">
        <v>628</v>
      </c>
      <c r="I54" s="126" t="s">
        <v>609</v>
      </c>
      <c r="J54" s="126" t="s">
        <v>610</v>
      </c>
      <c r="K54" s="128" t="s">
        <v>611</v>
      </c>
      <c r="L54" s="121" t="s">
        <v>19</v>
      </c>
      <c r="M54" s="123" t="s">
        <v>790</v>
      </c>
      <c r="N54" s="129">
        <v>43556</v>
      </c>
      <c r="O54" s="129">
        <v>43921</v>
      </c>
      <c r="P54" s="129">
        <v>43921</v>
      </c>
      <c r="Q54" s="130">
        <v>37500</v>
      </c>
      <c r="R54" s="113"/>
      <c r="S54" s="132">
        <v>28500</v>
      </c>
      <c r="T54" s="132"/>
      <c r="U54" s="132">
        <v>9000</v>
      </c>
      <c r="V54" s="132">
        <v>0</v>
      </c>
      <c r="W54" s="132">
        <v>0</v>
      </c>
      <c r="X54" s="132">
        <v>0</v>
      </c>
      <c r="Y54" s="111">
        <v>37500</v>
      </c>
      <c r="Z54" s="133">
        <f t="shared" si="9"/>
        <v>37500</v>
      </c>
      <c r="AA54" s="133">
        <f t="shared" si="10"/>
        <v>0</v>
      </c>
      <c r="AB54" s="141"/>
      <c r="AC54" s="132"/>
      <c r="AD54" s="132"/>
      <c r="AE54" s="132"/>
      <c r="AF54" s="132"/>
      <c r="AG54" s="132"/>
      <c r="AH54" s="132"/>
      <c r="AI54" s="111"/>
      <c r="AJ54" s="134">
        <f t="shared" si="8"/>
        <v>0</v>
      </c>
      <c r="AK54" s="134">
        <f t="shared" si="3"/>
        <v>0</v>
      </c>
      <c r="AL54" s="145"/>
      <c r="AM54" s="135"/>
      <c r="AN54" s="135"/>
      <c r="AO54" s="135"/>
      <c r="AP54" s="135"/>
      <c r="AQ54" s="135"/>
      <c r="AR54" s="135"/>
      <c r="AS54" s="116"/>
      <c r="AT54" s="134">
        <f t="shared" si="11"/>
        <v>0</v>
      </c>
      <c r="AU54" s="134">
        <f t="shared" si="4"/>
        <v>0</v>
      </c>
      <c r="AV54" s="142"/>
      <c r="AW54" s="135"/>
      <c r="AX54" s="135"/>
      <c r="AY54" s="135"/>
      <c r="AZ54" s="135"/>
      <c r="BA54" s="135"/>
      <c r="BB54" s="116"/>
      <c r="BC54" s="113"/>
      <c r="BD54" s="116"/>
      <c r="BE54" s="113"/>
      <c r="BF54" s="116"/>
      <c r="BG54" s="116"/>
      <c r="BH54" s="137">
        <f t="shared" si="5"/>
        <v>37500</v>
      </c>
      <c r="BI54" s="138">
        <f t="shared" si="6"/>
        <v>0</v>
      </c>
      <c r="BJ54" s="126"/>
      <c r="BK54" s="91"/>
    </row>
    <row r="55" spans="1:63" ht="15.75">
      <c r="A55" s="123">
        <v>507638</v>
      </c>
      <c r="B55" s="126">
        <v>203770</v>
      </c>
      <c r="C55" s="124" t="s">
        <v>787</v>
      </c>
      <c r="D55" s="124" t="s">
        <v>678</v>
      </c>
      <c r="E55" s="125" t="s">
        <v>786</v>
      </c>
      <c r="F55" s="124" t="s">
        <v>258</v>
      </c>
      <c r="G55" s="127" t="s">
        <v>260</v>
      </c>
      <c r="H55" s="126" t="s">
        <v>628</v>
      </c>
      <c r="I55" s="126" t="s">
        <v>609</v>
      </c>
      <c r="J55" s="126" t="s">
        <v>610</v>
      </c>
      <c r="K55" s="128" t="s">
        <v>611</v>
      </c>
      <c r="L55" s="121" t="s">
        <v>519</v>
      </c>
      <c r="M55" s="123" t="s">
        <v>791</v>
      </c>
      <c r="N55" s="129">
        <v>43709</v>
      </c>
      <c r="O55" s="129">
        <v>44530</v>
      </c>
      <c r="P55" s="129">
        <v>44530</v>
      </c>
      <c r="Q55" s="130">
        <f>40000+40000</f>
        <v>80000</v>
      </c>
      <c r="R55" s="113"/>
      <c r="S55" s="132">
        <f>14800+13000</f>
        <v>27800</v>
      </c>
      <c r="T55" s="132">
        <v>6700</v>
      </c>
      <c r="U55" s="132">
        <v>4300</v>
      </c>
      <c r="V55" s="132"/>
      <c r="W55" s="132">
        <v>0</v>
      </c>
      <c r="X55" s="132">
        <v>0</v>
      </c>
      <c r="Y55" s="111">
        <f>SUM(S55:X55)</f>
        <v>38800</v>
      </c>
      <c r="Z55" s="133">
        <f t="shared" si="9"/>
        <v>38800</v>
      </c>
      <c r="AA55" s="133">
        <f t="shared" si="10"/>
        <v>0</v>
      </c>
      <c r="AB55" s="141"/>
      <c r="AC55" s="132">
        <v>31250</v>
      </c>
      <c r="AD55" s="132"/>
      <c r="AE55" s="132">
        <v>9950</v>
      </c>
      <c r="AF55" s="132">
        <v>0</v>
      </c>
      <c r="AG55" s="132">
        <v>0</v>
      </c>
      <c r="AH55" s="132">
        <v>0</v>
      </c>
      <c r="AI55" s="111">
        <v>41200</v>
      </c>
      <c r="AJ55" s="134">
        <f t="shared" si="8"/>
        <v>41200</v>
      </c>
      <c r="AK55" s="134">
        <f t="shared" si="3"/>
        <v>0</v>
      </c>
      <c r="AL55" s="142"/>
      <c r="AM55" s="132">
        <v>0</v>
      </c>
      <c r="AN55" s="132">
        <v>0</v>
      </c>
      <c r="AO55" s="132">
        <v>0</v>
      </c>
      <c r="AP55" s="132">
        <v>0</v>
      </c>
      <c r="AQ55" s="132">
        <v>0</v>
      </c>
      <c r="AR55" s="132">
        <v>0</v>
      </c>
      <c r="AS55" s="116">
        <f>SUM(AM55:AR55)</f>
        <v>0</v>
      </c>
      <c r="AT55" s="134">
        <f t="shared" si="11"/>
        <v>0</v>
      </c>
      <c r="AU55" s="134">
        <f t="shared" si="4"/>
        <v>0</v>
      </c>
      <c r="AV55" s="142"/>
      <c r="AW55" s="135"/>
      <c r="AX55" s="135"/>
      <c r="AY55" s="135"/>
      <c r="AZ55" s="135"/>
      <c r="BA55" s="135"/>
      <c r="BB55" s="116"/>
      <c r="BC55" s="113"/>
      <c r="BD55" s="116"/>
      <c r="BE55" s="113"/>
      <c r="BF55" s="116"/>
      <c r="BG55" s="116"/>
      <c r="BH55" s="137">
        <f t="shared" si="5"/>
        <v>80000</v>
      </c>
      <c r="BI55" s="138">
        <f t="shared" si="6"/>
        <v>0</v>
      </c>
      <c r="BJ55" s="126"/>
      <c r="BK55" s="91"/>
    </row>
    <row r="56" spans="1:63" ht="15.75">
      <c r="A56" s="123">
        <v>501333</v>
      </c>
      <c r="B56" s="126">
        <v>203820</v>
      </c>
      <c r="C56" s="124" t="s">
        <v>793</v>
      </c>
      <c r="D56" s="124" t="s">
        <v>794</v>
      </c>
      <c r="E56" s="125" t="s">
        <v>792</v>
      </c>
      <c r="F56" s="124" t="s">
        <v>106</v>
      </c>
      <c r="G56" s="127" t="s">
        <v>46</v>
      </c>
      <c r="H56" s="126" t="s">
        <v>628</v>
      </c>
      <c r="I56" s="126" t="s">
        <v>598</v>
      </c>
      <c r="J56" s="126" t="s">
        <v>795</v>
      </c>
      <c r="K56" s="128" t="s">
        <v>796</v>
      </c>
      <c r="L56" s="121" t="s">
        <v>515</v>
      </c>
      <c r="M56" s="123" t="s">
        <v>797</v>
      </c>
      <c r="N56" s="129">
        <v>42614</v>
      </c>
      <c r="O56" s="129">
        <v>43830</v>
      </c>
      <c r="P56" s="129">
        <v>44144</v>
      </c>
      <c r="Q56" s="130">
        <v>270000</v>
      </c>
      <c r="R56" s="113"/>
      <c r="S56" s="132">
        <v>64000</v>
      </c>
      <c r="T56" s="132">
        <v>0</v>
      </c>
      <c r="U56" s="132">
        <v>26000</v>
      </c>
      <c r="V56" s="132"/>
      <c r="W56" s="132">
        <v>0</v>
      </c>
      <c r="X56" s="132">
        <v>0</v>
      </c>
      <c r="Y56" s="111">
        <v>90000</v>
      </c>
      <c r="Z56" s="133">
        <f t="shared" si="9"/>
        <v>90000</v>
      </c>
      <c r="AA56" s="133">
        <f t="shared" si="10"/>
        <v>0</v>
      </c>
      <c r="AB56" s="141"/>
      <c r="AC56" s="132">
        <v>64000</v>
      </c>
      <c r="AD56" s="132">
        <v>0</v>
      </c>
      <c r="AE56" s="132">
        <v>26000</v>
      </c>
      <c r="AF56" s="132">
        <v>0</v>
      </c>
      <c r="AG56" s="132">
        <v>0</v>
      </c>
      <c r="AH56" s="132"/>
      <c r="AI56" s="111">
        <v>90000</v>
      </c>
      <c r="AJ56" s="134">
        <f t="shared" si="8"/>
        <v>90000</v>
      </c>
      <c r="AK56" s="134">
        <f t="shared" si="3"/>
        <v>0</v>
      </c>
      <c r="AL56" s="142"/>
      <c r="AM56" s="135">
        <v>74848.83</v>
      </c>
      <c r="AN56" s="135">
        <v>0</v>
      </c>
      <c r="AO56" s="135">
        <v>15151.17</v>
      </c>
      <c r="AP56" s="135"/>
      <c r="AQ56" s="135">
        <v>0</v>
      </c>
      <c r="AR56" s="135">
        <v>0</v>
      </c>
      <c r="AS56" s="116">
        <v>90000</v>
      </c>
      <c r="AT56" s="134">
        <f t="shared" si="11"/>
        <v>90000</v>
      </c>
      <c r="AU56" s="134">
        <f t="shared" si="4"/>
        <v>0</v>
      </c>
      <c r="AV56" s="142"/>
      <c r="AW56" s="135"/>
      <c r="AX56" s="135"/>
      <c r="AY56" s="135"/>
      <c r="AZ56" s="135"/>
      <c r="BA56" s="135"/>
      <c r="BB56" s="116"/>
      <c r="BC56" s="113"/>
      <c r="BD56" s="116"/>
      <c r="BE56" s="113"/>
      <c r="BF56" s="116"/>
      <c r="BG56" s="116"/>
      <c r="BH56" s="137">
        <f t="shared" si="5"/>
        <v>270000</v>
      </c>
      <c r="BI56" s="138">
        <f t="shared" si="6"/>
        <v>0</v>
      </c>
      <c r="BJ56" s="126"/>
      <c r="BK56" s="91"/>
    </row>
    <row r="57" spans="1:63" ht="15.75">
      <c r="A57" s="123">
        <v>501341</v>
      </c>
      <c r="B57" s="126">
        <v>203820</v>
      </c>
      <c r="C57" s="124" t="s">
        <v>793</v>
      </c>
      <c r="D57" s="124" t="s">
        <v>794</v>
      </c>
      <c r="E57" s="125" t="s">
        <v>792</v>
      </c>
      <c r="F57" s="124" t="s">
        <v>106</v>
      </c>
      <c r="G57" s="127" t="s">
        <v>46</v>
      </c>
      <c r="H57" s="126" t="s">
        <v>597</v>
      </c>
      <c r="I57" s="126" t="s">
        <v>598</v>
      </c>
      <c r="J57" s="126" t="s">
        <v>795</v>
      </c>
      <c r="K57" s="128" t="s">
        <v>796</v>
      </c>
      <c r="L57" s="121" t="s">
        <v>515</v>
      </c>
      <c r="M57" s="123" t="s">
        <v>713</v>
      </c>
      <c r="N57" s="129">
        <v>42614</v>
      </c>
      <c r="O57" s="129">
        <v>43708</v>
      </c>
      <c r="P57" s="129">
        <v>44145</v>
      </c>
      <c r="Q57" s="130">
        <v>429276</v>
      </c>
      <c r="R57" s="113"/>
      <c r="S57" s="132">
        <v>75000</v>
      </c>
      <c r="T57" s="132">
        <v>0</v>
      </c>
      <c r="U57" s="132">
        <v>56302</v>
      </c>
      <c r="V57" s="132"/>
      <c r="W57" s="132">
        <v>15974</v>
      </c>
      <c r="X57" s="132">
        <v>0</v>
      </c>
      <c r="Y57" s="111">
        <v>147276</v>
      </c>
      <c r="Z57" s="133">
        <f t="shared" si="9"/>
        <v>147276</v>
      </c>
      <c r="AA57" s="133">
        <f t="shared" si="10"/>
        <v>0</v>
      </c>
      <c r="AB57" s="141"/>
      <c r="AC57" s="132">
        <v>75000</v>
      </c>
      <c r="AD57" s="132">
        <v>0</v>
      </c>
      <c r="AE57" s="132">
        <v>56302</v>
      </c>
      <c r="AF57" s="132"/>
      <c r="AG57" s="132">
        <v>15974</v>
      </c>
      <c r="AH57" s="132"/>
      <c r="AI57" s="111">
        <v>147276</v>
      </c>
      <c r="AJ57" s="134">
        <f t="shared" si="8"/>
        <v>147276</v>
      </c>
      <c r="AK57" s="134">
        <f t="shared" si="3"/>
        <v>0</v>
      </c>
      <c r="AL57" s="142"/>
      <c r="AM57" s="135">
        <v>75000</v>
      </c>
      <c r="AN57" s="135">
        <v>0</v>
      </c>
      <c r="AO57" s="135">
        <v>43750</v>
      </c>
      <c r="AP57" s="135"/>
      <c r="AQ57" s="135">
        <v>15974</v>
      </c>
      <c r="AR57" s="135">
        <v>0</v>
      </c>
      <c r="AS57" s="116">
        <v>134724</v>
      </c>
      <c r="AT57" s="134">
        <f t="shared" si="11"/>
        <v>134724</v>
      </c>
      <c r="AU57" s="134">
        <f t="shared" si="4"/>
        <v>0</v>
      </c>
      <c r="AV57" s="142"/>
      <c r="AW57" s="135"/>
      <c r="AX57" s="135"/>
      <c r="AY57" s="135"/>
      <c r="AZ57" s="135"/>
      <c r="BA57" s="135"/>
      <c r="BB57" s="116"/>
      <c r="BC57" s="113"/>
      <c r="BD57" s="116"/>
      <c r="BE57" s="113"/>
      <c r="BF57" s="116"/>
      <c r="BG57" s="116"/>
      <c r="BH57" s="137">
        <f t="shared" si="5"/>
        <v>429276</v>
      </c>
      <c r="BI57" s="138">
        <f t="shared" si="6"/>
        <v>0</v>
      </c>
      <c r="BJ57" s="126"/>
      <c r="BK57" s="91"/>
    </row>
    <row r="58" spans="1:63" ht="15.75">
      <c r="A58" s="123">
        <v>502560</v>
      </c>
      <c r="B58" s="126">
        <v>203820</v>
      </c>
      <c r="C58" s="124" t="s">
        <v>793</v>
      </c>
      <c r="D58" s="124" t="s">
        <v>794</v>
      </c>
      <c r="E58" s="125" t="s">
        <v>792</v>
      </c>
      <c r="F58" s="124" t="s">
        <v>106</v>
      </c>
      <c r="G58" s="127" t="s">
        <v>46</v>
      </c>
      <c r="H58" s="126" t="s">
        <v>628</v>
      </c>
      <c r="I58" s="126" t="s">
        <v>598</v>
      </c>
      <c r="J58" s="126" t="s">
        <v>795</v>
      </c>
      <c r="K58" s="128" t="s">
        <v>796</v>
      </c>
      <c r="L58" s="121" t="s">
        <v>19</v>
      </c>
      <c r="M58" s="123" t="s">
        <v>798</v>
      </c>
      <c r="N58" s="129">
        <v>42826</v>
      </c>
      <c r="O58" s="129">
        <v>43555</v>
      </c>
      <c r="P58" s="129">
        <v>43555</v>
      </c>
      <c r="Q58" s="130">
        <f>Y58+AI58</f>
        <v>83200</v>
      </c>
      <c r="R58" s="113"/>
      <c r="S58" s="132">
        <v>24500</v>
      </c>
      <c r="T58" s="132">
        <v>0</v>
      </c>
      <c r="U58" s="132">
        <v>17100</v>
      </c>
      <c r="V58" s="132">
        <v>0</v>
      </c>
      <c r="W58" s="132">
        <v>0</v>
      </c>
      <c r="X58" s="132">
        <v>0</v>
      </c>
      <c r="Y58" s="111">
        <v>41600</v>
      </c>
      <c r="Z58" s="133">
        <f t="shared" si="9"/>
        <v>41600</v>
      </c>
      <c r="AA58" s="133">
        <f t="shared" si="10"/>
        <v>0</v>
      </c>
      <c r="AB58" s="141"/>
      <c r="AC58" s="132">
        <v>24500</v>
      </c>
      <c r="AD58" s="132">
        <v>0</v>
      </c>
      <c r="AE58" s="132">
        <v>17100</v>
      </c>
      <c r="AF58" s="132">
        <v>0</v>
      </c>
      <c r="AG58" s="132">
        <v>0</v>
      </c>
      <c r="AH58" s="132"/>
      <c r="AI58" s="111">
        <v>41600</v>
      </c>
      <c r="AJ58" s="134">
        <f t="shared" si="8"/>
        <v>41600</v>
      </c>
      <c r="AK58" s="134">
        <f t="shared" si="3"/>
        <v>0</v>
      </c>
      <c r="AL58" s="145"/>
      <c r="AM58" s="132">
        <v>0</v>
      </c>
      <c r="AN58" s="132">
        <v>0</v>
      </c>
      <c r="AO58" s="132">
        <v>0</v>
      </c>
      <c r="AP58" s="132">
        <v>0</v>
      </c>
      <c r="AQ58" s="132">
        <v>0</v>
      </c>
      <c r="AR58" s="132">
        <v>0</v>
      </c>
      <c r="AS58" s="116">
        <v>0</v>
      </c>
      <c r="AT58" s="134">
        <f t="shared" si="11"/>
        <v>0</v>
      </c>
      <c r="AU58" s="134">
        <f t="shared" si="4"/>
        <v>0</v>
      </c>
      <c r="AV58" s="142"/>
      <c r="AW58" s="135"/>
      <c r="AX58" s="135"/>
      <c r="AY58" s="135"/>
      <c r="AZ58" s="135"/>
      <c r="BA58" s="135"/>
      <c r="BB58" s="116"/>
      <c r="BC58" s="113"/>
      <c r="BD58" s="116"/>
      <c r="BE58" s="113"/>
      <c r="BF58" s="116"/>
      <c r="BG58" s="116"/>
      <c r="BH58" s="137">
        <f t="shared" si="5"/>
        <v>83200</v>
      </c>
      <c r="BI58" s="138">
        <f t="shared" si="6"/>
        <v>0</v>
      </c>
      <c r="BJ58" s="126"/>
      <c r="BK58" s="91"/>
    </row>
    <row r="59" spans="1:63" ht="15.75">
      <c r="A59" s="123">
        <v>504335</v>
      </c>
      <c r="B59" s="126">
        <v>203820</v>
      </c>
      <c r="C59" s="124" t="s">
        <v>793</v>
      </c>
      <c r="D59" s="124" t="s">
        <v>794</v>
      </c>
      <c r="E59" s="125" t="s">
        <v>792</v>
      </c>
      <c r="F59" s="124" t="s">
        <v>106</v>
      </c>
      <c r="G59" s="127" t="s">
        <v>46</v>
      </c>
      <c r="H59" s="126" t="s">
        <v>628</v>
      </c>
      <c r="I59" s="126" t="s">
        <v>598</v>
      </c>
      <c r="J59" s="126" t="s">
        <v>795</v>
      </c>
      <c r="K59" s="128" t="s">
        <v>796</v>
      </c>
      <c r="L59" s="121" t="s">
        <v>19</v>
      </c>
      <c r="M59" s="123" t="s">
        <v>799</v>
      </c>
      <c r="N59" s="129">
        <v>43191</v>
      </c>
      <c r="O59" s="129">
        <v>44044</v>
      </c>
      <c r="P59" s="129">
        <v>44149</v>
      </c>
      <c r="Q59" s="130">
        <f>41859+41859</f>
        <v>83718</v>
      </c>
      <c r="R59" s="113"/>
      <c r="S59" s="132">
        <v>24625</v>
      </c>
      <c r="T59" s="132">
        <v>0</v>
      </c>
      <c r="U59" s="132">
        <v>7910</v>
      </c>
      <c r="V59" s="132">
        <v>0</v>
      </c>
      <c r="W59" s="132">
        <v>9324</v>
      </c>
      <c r="X59" s="132">
        <v>0</v>
      </c>
      <c r="Y59" s="111">
        <f>SUM(R59:X59)</f>
        <v>41859</v>
      </c>
      <c r="Z59" s="133">
        <f t="shared" si="9"/>
        <v>41859</v>
      </c>
      <c r="AA59" s="133">
        <f t="shared" si="10"/>
        <v>0</v>
      </c>
      <c r="AB59" s="141"/>
      <c r="AC59" s="132">
        <v>24625</v>
      </c>
      <c r="AD59" s="132">
        <v>0</v>
      </c>
      <c r="AE59" s="132">
        <v>7910</v>
      </c>
      <c r="AF59" s="132">
        <v>0</v>
      </c>
      <c r="AG59" s="132">
        <v>9324</v>
      </c>
      <c r="AH59" s="132"/>
      <c r="AI59" s="111">
        <v>41859</v>
      </c>
      <c r="AJ59" s="134">
        <f t="shared" si="8"/>
        <v>41859</v>
      </c>
      <c r="AK59" s="134">
        <f t="shared" si="3"/>
        <v>0</v>
      </c>
      <c r="AL59" s="145"/>
      <c r="AM59" s="132">
        <v>0</v>
      </c>
      <c r="AN59" s="132">
        <v>0</v>
      </c>
      <c r="AO59" s="132">
        <v>0</v>
      </c>
      <c r="AP59" s="132">
        <v>0</v>
      </c>
      <c r="AQ59" s="132">
        <v>0</v>
      </c>
      <c r="AR59" s="132">
        <v>0</v>
      </c>
      <c r="AS59" s="116">
        <v>0</v>
      </c>
      <c r="AT59" s="134">
        <f t="shared" si="11"/>
        <v>0</v>
      </c>
      <c r="AU59" s="134">
        <f t="shared" si="4"/>
        <v>0</v>
      </c>
      <c r="AV59" s="142"/>
      <c r="AW59" s="135"/>
      <c r="AX59" s="135"/>
      <c r="AY59" s="135"/>
      <c r="AZ59" s="135"/>
      <c r="BA59" s="135"/>
      <c r="BB59" s="116"/>
      <c r="BC59" s="113"/>
      <c r="BD59" s="116"/>
      <c r="BE59" s="113"/>
      <c r="BF59" s="116"/>
      <c r="BG59" s="116"/>
      <c r="BH59" s="137">
        <f t="shared" si="5"/>
        <v>83718</v>
      </c>
      <c r="BI59" s="138">
        <f t="shared" si="6"/>
        <v>0</v>
      </c>
      <c r="BJ59" s="126"/>
      <c r="BK59" s="91"/>
    </row>
    <row r="60" spans="1:63" ht="15.75">
      <c r="A60" s="123">
        <v>506449</v>
      </c>
      <c r="B60" s="126">
        <v>203820</v>
      </c>
      <c r="C60" s="124" t="s">
        <v>793</v>
      </c>
      <c r="D60" s="124" t="s">
        <v>794</v>
      </c>
      <c r="E60" s="125" t="s">
        <v>792</v>
      </c>
      <c r="F60" s="124" t="s">
        <v>106</v>
      </c>
      <c r="G60" s="127" t="s">
        <v>46</v>
      </c>
      <c r="H60" s="126" t="s">
        <v>597</v>
      </c>
      <c r="I60" s="126" t="s">
        <v>598</v>
      </c>
      <c r="J60" s="126" t="s">
        <v>795</v>
      </c>
      <c r="K60" s="128" t="s">
        <v>796</v>
      </c>
      <c r="L60" s="121" t="s">
        <v>517</v>
      </c>
      <c r="M60" s="123" t="s">
        <v>800</v>
      </c>
      <c r="N60" s="129">
        <v>43556</v>
      </c>
      <c r="O60" s="129">
        <v>44286</v>
      </c>
      <c r="P60" s="129">
        <v>44286</v>
      </c>
      <c r="Q60" s="130">
        <f>50000*2</f>
        <v>100000</v>
      </c>
      <c r="R60" s="113"/>
      <c r="S60" s="132">
        <v>50000</v>
      </c>
      <c r="T60" s="132"/>
      <c r="U60" s="132"/>
      <c r="V60" s="132"/>
      <c r="W60" s="132"/>
      <c r="X60" s="132"/>
      <c r="Y60" s="111">
        <v>50000</v>
      </c>
      <c r="Z60" s="133">
        <f t="shared" si="9"/>
        <v>50000</v>
      </c>
      <c r="AA60" s="133">
        <f t="shared" si="10"/>
        <v>0</v>
      </c>
      <c r="AB60" s="141"/>
      <c r="AC60" s="132">
        <v>50000</v>
      </c>
      <c r="AD60" s="132"/>
      <c r="AE60" s="132"/>
      <c r="AF60" s="132"/>
      <c r="AG60" s="132"/>
      <c r="AH60" s="132"/>
      <c r="AI60" s="111">
        <v>50000</v>
      </c>
      <c r="AJ60" s="134">
        <f t="shared" si="8"/>
        <v>50000</v>
      </c>
      <c r="AK60" s="134">
        <f t="shared" si="3"/>
        <v>0</v>
      </c>
      <c r="AL60" s="142"/>
      <c r="AM60" s="135"/>
      <c r="AN60" s="135"/>
      <c r="AO60" s="135"/>
      <c r="AP60" s="135"/>
      <c r="AQ60" s="135"/>
      <c r="AR60" s="135"/>
      <c r="AS60" s="116"/>
      <c r="AT60" s="134">
        <f t="shared" si="11"/>
        <v>0</v>
      </c>
      <c r="AU60" s="134">
        <f t="shared" si="4"/>
        <v>0</v>
      </c>
      <c r="AV60" s="142"/>
      <c r="AW60" s="135"/>
      <c r="AX60" s="135"/>
      <c r="AY60" s="135"/>
      <c r="AZ60" s="135"/>
      <c r="BA60" s="135"/>
      <c r="BB60" s="116"/>
      <c r="BC60" s="113"/>
      <c r="BD60" s="116"/>
      <c r="BE60" s="113"/>
      <c r="BF60" s="116"/>
      <c r="BG60" s="116"/>
      <c r="BH60" s="137">
        <f t="shared" si="5"/>
        <v>100000</v>
      </c>
      <c r="BI60" s="138">
        <f t="shared" si="6"/>
        <v>0</v>
      </c>
      <c r="BJ60" s="126"/>
      <c r="BK60" s="91"/>
    </row>
    <row r="61" spans="1:63" ht="15.75">
      <c r="A61" s="123">
        <v>507638</v>
      </c>
      <c r="B61" s="126">
        <v>203820</v>
      </c>
      <c r="C61" s="124" t="s">
        <v>793</v>
      </c>
      <c r="D61" s="124" t="s">
        <v>794</v>
      </c>
      <c r="E61" s="125" t="s">
        <v>792</v>
      </c>
      <c r="F61" s="124" t="s">
        <v>106</v>
      </c>
      <c r="G61" s="127" t="s">
        <v>46</v>
      </c>
      <c r="H61" s="126" t="s">
        <v>628</v>
      </c>
      <c r="I61" s="126" t="s">
        <v>598</v>
      </c>
      <c r="J61" s="126" t="s">
        <v>795</v>
      </c>
      <c r="K61" s="128" t="s">
        <v>796</v>
      </c>
      <c r="L61" s="121" t="s">
        <v>519</v>
      </c>
      <c r="M61" s="123" t="s">
        <v>791</v>
      </c>
      <c r="N61" s="129">
        <v>43709</v>
      </c>
      <c r="O61" s="129">
        <v>44530</v>
      </c>
      <c r="P61" s="129">
        <v>44530</v>
      </c>
      <c r="Q61" s="130">
        <f>30000+30000</f>
        <v>60000</v>
      </c>
      <c r="R61" s="113"/>
      <c r="S61" s="132">
        <v>22000</v>
      </c>
      <c r="T61" s="132"/>
      <c r="U61" s="132">
        <v>5000</v>
      </c>
      <c r="V61" s="132"/>
      <c r="W61" s="132">
        <v>3000</v>
      </c>
      <c r="X61" s="132"/>
      <c r="Y61" s="111">
        <v>30000</v>
      </c>
      <c r="Z61" s="133">
        <f t="shared" si="9"/>
        <v>30000</v>
      </c>
      <c r="AA61" s="133">
        <f t="shared" si="10"/>
        <v>0</v>
      </c>
      <c r="AB61" s="141"/>
      <c r="AC61" s="132">
        <v>22000</v>
      </c>
      <c r="AD61" s="132"/>
      <c r="AE61" s="132">
        <v>5000</v>
      </c>
      <c r="AF61" s="132"/>
      <c r="AG61" s="132">
        <v>3000</v>
      </c>
      <c r="AH61" s="132"/>
      <c r="AI61" s="111">
        <v>30000</v>
      </c>
      <c r="AJ61" s="134">
        <f t="shared" si="8"/>
        <v>30000</v>
      </c>
      <c r="AK61" s="134">
        <f t="shared" si="3"/>
        <v>0</v>
      </c>
      <c r="AL61" s="142"/>
      <c r="AM61" s="132">
        <v>49500</v>
      </c>
      <c r="AN61" s="132">
        <v>0</v>
      </c>
      <c r="AO61" s="132">
        <v>12000</v>
      </c>
      <c r="AP61" s="132"/>
      <c r="AQ61" s="132">
        <v>8500</v>
      </c>
      <c r="AR61" s="132"/>
      <c r="AS61" s="116">
        <f>SUM(AM61:AR61)</f>
        <v>70000</v>
      </c>
      <c r="AT61" s="134">
        <f t="shared" si="11"/>
        <v>70000</v>
      </c>
      <c r="AU61" s="134">
        <f t="shared" si="4"/>
        <v>0</v>
      </c>
      <c r="AV61" s="142"/>
      <c r="AW61" s="135"/>
      <c r="AX61" s="135"/>
      <c r="AY61" s="135"/>
      <c r="AZ61" s="135"/>
      <c r="BA61" s="135"/>
      <c r="BB61" s="116"/>
      <c r="BC61" s="113"/>
      <c r="BD61" s="116"/>
      <c r="BE61" s="113"/>
      <c r="BF61" s="116"/>
      <c r="BG61" s="116"/>
      <c r="BH61" s="137">
        <f t="shared" si="5"/>
        <v>130000</v>
      </c>
      <c r="BI61" s="138">
        <f t="shared" si="6"/>
        <v>70000</v>
      </c>
      <c r="BJ61" s="126"/>
      <c r="BK61" s="91"/>
    </row>
    <row r="62" spans="1:63" ht="15.75">
      <c r="A62" s="123">
        <v>507641</v>
      </c>
      <c r="B62" s="126">
        <v>203820</v>
      </c>
      <c r="C62" s="124" t="s">
        <v>793</v>
      </c>
      <c r="D62" s="124" t="s">
        <v>794</v>
      </c>
      <c r="E62" s="125" t="s">
        <v>792</v>
      </c>
      <c r="F62" s="124" t="s">
        <v>106</v>
      </c>
      <c r="G62" s="127" t="s">
        <v>46</v>
      </c>
      <c r="H62" s="126" t="s">
        <v>597</v>
      </c>
      <c r="I62" s="126" t="s">
        <v>598</v>
      </c>
      <c r="J62" s="126" t="s">
        <v>795</v>
      </c>
      <c r="K62" s="162" t="s">
        <v>801</v>
      </c>
      <c r="L62" s="121" t="s">
        <v>519</v>
      </c>
      <c r="M62" s="123" t="s">
        <v>755</v>
      </c>
      <c r="N62" s="129">
        <v>43709</v>
      </c>
      <c r="O62" s="129">
        <v>44530</v>
      </c>
      <c r="P62" s="129">
        <v>44530</v>
      </c>
      <c r="Q62" s="130">
        <f>106415+106595</f>
        <v>213010</v>
      </c>
      <c r="R62" s="113"/>
      <c r="S62" s="132">
        <v>76415</v>
      </c>
      <c r="T62" s="132"/>
      <c r="U62" s="132">
        <v>20000</v>
      </c>
      <c r="V62" s="132"/>
      <c r="W62" s="132">
        <v>10000</v>
      </c>
      <c r="X62" s="132"/>
      <c r="Y62" s="111">
        <v>106415</v>
      </c>
      <c r="Z62" s="133">
        <f t="shared" si="9"/>
        <v>106415</v>
      </c>
      <c r="AA62" s="133">
        <f t="shared" si="10"/>
        <v>0</v>
      </c>
      <c r="AB62" s="141"/>
      <c r="AC62" s="132">
        <v>76595</v>
      </c>
      <c r="AD62" s="132"/>
      <c r="AE62" s="132">
        <v>20000</v>
      </c>
      <c r="AF62" s="132"/>
      <c r="AG62" s="132">
        <v>10000</v>
      </c>
      <c r="AH62" s="132"/>
      <c r="AI62" s="111">
        <v>106595</v>
      </c>
      <c r="AJ62" s="134">
        <f t="shared" si="8"/>
        <v>106595</v>
      </c>
      <c r="AK62" s="134">
        <f t="shared" si="3"/>
        <v>0</v>
      </c>
      <c r="AL62" s="142"/>
      <c r="AM62" s="132">
        <v>77369</v>
      </c>
      <c r="AN62" s="132"/>
      <c r="AO62" s="132">
        <v>20000</v>
      </c>
      <c r="AP62" s="132"/>
      <c r="AQ62" s="132">
        <v>10000</v>
      </c>
      <c r="AR62" s="135"/>
      <c r="AS62" s="116">
        <f>SUM(AM62:AR62)</f>
        <v>107369</v>
      </c>
      <c r="AT62" s="134">
        <f t="shared" si="11"/>
        <v>107369</v>
      </c>
      <c r="AU62" s="134">
        <f t="shared" si="4"/>
        <v>0</v>
      </c>
      <c r="AV62" s="142"/>
      <c r="AW62" s="135"/>
      <c r="AX62" s="135"/>
      <c r="AY62" s="135"/>
      <c r="AZ62" s="135"/>
      <c r="BA62" s="135"/>
      <c r="BB62" s="116"/>
      <c r="BC62" s="113"/>
      <c r="BD62" s="116"/>
      <c r="BE62" s="113"/>
      <c r="BF62" s="116"/>
      <c r="BG62" s="116"/>
      <c r="BH62" s="137">
        <f t="shared" si="5"/>
        <v>320379</v>
      </c>
      <c r="BI62" s="138">
        <f t="shared" si="6"/>
        <v>107369</v>
      </c>
      <c r="BJ62" s="126"/>
      <c r="BK62" s="91"/>
    </row>
    <row r="63" spans="1:63" ht="15.75">
      <c r="A63" s="123">
        <v>499953</v>
      </c>
      <c r="B63" s="126">
        <v>203832</v>
      </c>
      <c r="C63" s="121" t="s">
        <v>805</v>
      </c>
      <c r="D63" s="121" t="s">
        <v>806</v>
      </c>
      <c r="E63" s="125" t="s">
        <v>803</v>
      </c>
      <c r="F63" s="124" t="s">
        <v>804</v>
      </c>
      <c r="G63" s="127" t="s">
        <v>46</v>
      </c>
      <c r="H63" s="149" t="s">
        <v>597</v>
      </c>
      <c r="I63" s="126" t="s">
        <v>609</v>
      </c>
      <c r="J63" s="126" t="s">
        <v>807</v>
      </c>
      <c r="K63" s="128" t="s">
        <v>808</v>
      </c>
      <c r="L63" s="121" t="s">
        <v>637</v>
      </c>
      <c r="M63" s="123" t="s">
        <v>638</v>
      </c>
      <c r="N63" s="129">
        <v>42248</v>
      </c>
      <c r="O63" s="129">
        <v>42643</v>
      </c>
      <c r="P63" s="129">
        <v>42668</v>
      </c>
      <c r="Q63" s="144">
        <v>15000</v>
      </c>
      <c r="R63" s="132">
        <v>15000</v>
      </c>
      <c r="S63" s="132"/>
      <c r="T63" s="132">
        <v>0</v>
      </c>
      <c r="U63" s="132">
        <v>0</v>
      </c>
      <c r="V63" s="132"/>
      <c r="W63" s="132">
        <v>0</v>
      </c>
      <c r="X63" s="132">
        <v>0</v>
      </c>
      <c r="Y63" s="111">
        <v>15000</v>
      </c>
      <c r="Z63" s="133">
        <f t="shared" si="9"/>
        <v>15000</v>
      </c>
      <c r="AA63" s="133">
        <f t="shared" si="10"/>
        <v>0</v>
      </c>
      <c r="AB63" s="141"/>
      <c r="AC63" s="132" t="s">
        <v>602</v>
      </c>
      <c r="AD63" s="132" t="s">
        <v>602</v>
      </c>
      <c r="AE63" s="132" t="s">
        <v>602</v>
      </c>
      <c r="AF63" s="132" t="s">
        <v>602</v>
      </c>
      <c r="AG63" s="132" t="s">
        <v>602</v>
      </c>
      <c r="AH63" s="132"/>
      <c r="AI63" s="111">
        <v>0</v>
      </c>
      <c r="AJ63" s="134">
        <f t="shared" si="8"/>
        <v>0</v>
      </c>
      <c r="AK63" s="134">
        <f t="shared" si="3"/>
        <v>0</v>
      </c>
      <c r="AL63" s="142"/>
      <c r="AM63" s="132">
        <v>0</v>
      </c>
      <c r="AN63" s="132">
        <v>0</v>
      </c>
      <c r="AO63" s="132">
        <v>0</v>
      </c>
      <c r="AP63" s="132">
        <v>0</v>
      </c>
      <c r="AQ63" s="132">
        <v>0</v>
      </c>
      <c r="AR63" s="132">
        <v>0</v>
      </c>
      <c r="AS63" s="116">
        <v>0</v>
      </c>
      <c r="AT63" s="134">
        <f t="shared" si="11"/>
        <v>0</v>
      </c>
      <c r="AU63" s="134">
        <f t="shared" si="4"/>
        <v>0</v>
      </c>
      <c r="AV63" s="142"/>
      <c r="AW63" s="132" t="s">
        <v>602</v>
      </c>
      <c r="AX63" s="132" t="s">
        <v>602</v>
      </c>
      <c r="AY63" s="132" t="s">
        <v>602</v>
      </c>
      <c r="AZ63" s="132" t="s">
        <v>602</v>
      </c>
      <c r="BA63" s="132" t="s">
        <v>602</v>
      </c>
      <c r="BB63" s="116"/>
      <c r="BC63" s="113"/>
      <c r="BD63" s="116"/>
      <c r="BE63" s="113"/>
      <c r="BF63" s="116"/>
      <c r="BG63" s="116"/>
      <c r="BH63" s="137">
        <f t="shared" si="5"/>
        <v>15000</v>
      </c>
      <c r="BI63" s="138">
        <f t="shared" si="6"/>
        <v>0</v>
      </c>
      <c r="BJ63" s="147"/>
      <c r="BK63" s="91"/>
    </row>
    <row r="64" spans="1:63" ht="15.75">
      <c r="A64" s="123">
        <v>501345</v>
      </c>
      <c r="B64" s="126">
        <v>203832</v>
      </c>
      <c r="C64" s="149" t="s">
        <v>805</v>
      </c>
      <c r="D64" s="149" t="s">
        <v>806</v>
      </c>
      <c r="E64" s="125" t="s">
        <v>803</v>
      </c>
      <c r="F64" s="124" t="s">
        <v>804</v>
      </c>
      <c r="G64" s="127" t="s">
        <v>46</v>
      </c>
      <c r="H64" s="123" t="s">
        <v>628</v>
      </c>
      <c r="I64" s="126" t="s">
        <v>609</v>
      </c>
      <c r="J64" s="126" t="s">
        <v>807</v>
      </c>
      <c r="K64" s="128" t="s">
        <v>808</v>
      </c>
      <c r="L64" s="121" t="s">
        <v>515</v>
      </c>
      <c r="M64" s="143" t="s">
        <v>714</v>
      </c>
      <c r="N64" s="129">
        <v>42614</v>
      </c>
      <c r="O64" s="129">
        <v>43890</v>
      </c>
      <c r="P64" s="129">
        <v>44145</v>
      </c>
      <c r="Q64" s="144">
        <v>107000</v>
      </c>
      <c r="R64" s="150"/>
      <c r="S64" s="132">
        <v>21000</v>
      </c>
      <c r="T64" s="132">
        <v>0</v>
      </c>
      <c r="U64" s="132">
        <v>0</v>
      </c>
      <c r="V64" s="132"/>
      <c r="W64" s="132">
        <v>0</v>
      </c>
      <c r="X64" s="132">
        <v>0</v>
      </c>
      <c r="Y64" s="111">
        <v>21000</v>
      </c>
      <c r="Z64" s="133">
        <f t="shared" si="9"/>
        <v>21000</v>
      </c>
      <c r="AA64" s="133">
        <f t="shared" si="10"/>
        <v>0</v>
      </c>
      <c r="AB64" s="141"/>
      <c r="AC64" s="132">
        <v>43000</v>
      </c>
      <c r="AD64" s="132">
        <v>0</v>
      </c>
      <c r="AE64" s="132">
        <v>0</v>
      </c>
      <c r="AF64" s="132">
        <v>0</v>
      </c>
      <c r="AG64" s="132">
        <v>0</v>
      </c>
      <c r="AH64" s="132"/>
      <c r="AI64" s="111">
        <v>43000</v>
      </c>
      <c r="AJ64" s="134">
        <f t="shared" si="8"/>
        <v>43000</v>
      </c>
      <c r="AK64" s="134">
        <f t="shared" si="3"/>
        <v>0</v>
      </c>
      <c r="AL64" s="142"/>
      <c r="AM64" s="135">
        <v>43000</v>
      </c>
      <c r="AN64" s="135">
        <v>0</v>
      </c>
      <c r="AO64" s="135">
        <v>0</v>
      </c>
      <c r="AP64" s="135"/>
      <c r="AQ64" s="135">
        <v>0</v>
      </c>
      <c r="AR64" s="135">
        <v>0</v>
      </c>
      <c r="AS64" s="116">
        <v>43000</v>
      </c>
      <c r="AT64" s="134">
        <f t="shared" si="11"/>
        <v>43000</v>
      </c>
      <c r="AU64" s="134">
        <f t="shared" si="4"/>
        <v>0</v>
      </c>
      <c r="AV64" s="142"/>
      <c r="AW64" s="135"/>
      <c r="AX64" s="135"/>
      <c r="AY64" s="135"/>
      <c r="AZ64" s="135"/>
      <c r="BA64" s="135"/>
      <c r="BB64" s="116"/>
      <c r="BC64" s="113"/>
      <c r="BD64" s="116"/>
      <c r="BE64" s="113"/>
      <c r="BF64" s="116"/>
      <c r="BG64" s="116"/>
      <c r="BH64" s="137">
        <f t="shared" si="5"/>
        <v>107000</v>
      </c>
      <c r="BI64" s="138">
        <f t="shared" si="6"/>
        <v>0</v>
      </c>
      <c r="BJ64" s="147"/>
      <c r="BK64" s="91"/>
    </row>
    <row r="65" spans="1:63" ht="15.75">
      <c r="A65" s="123">
        <v>502315</v>
      </c>
      <c r="B65" s="126">
        <v>205404</v>
      </c>
      <c r="C65" s="124" t="s">
        <v>811</v>
      </c>
      <c r="D65" s="124" t="s">
        <v>812</v>
      </c>
      <c r="E65" s="125" t="s">
        <v>809</v>
      </c>
      <c r="F65" s="124" t="s">
        <v>810</v>
      </c>
      <c r="G65" s="127" t="s">
        <v>46</v>
      </c>
      <c r="H65" s="126" t="s">
        <v>628</v>
      </c>
      <c r="I65" s="123" t="s">
        <v>703</v>
      </c>
      <c r="J65" s="126" t="s">
        <v>774</v>
      </c>
      <c r="K65" s="128" t="s">
        <v>775</v>
      </c>
      <c r="L65" s="121" t="s">
        <v>652</v>
      </c>
      <c r="M65" s="123" t="s">
        <v>813</v>
      </c>
      <c r="N65" s="129">
        <v>42826</v>
      </c>
      <c r="O65" s="129">
        <v>43281</v>
      </c>
      <c r="P65" s="129">
        <v>43312</v>
      </c>
      <c r="Q65" s="130">
        <v>29000</v>
      </c>
      <c r="R65" s="113"/>
      <c r="S65" s="132">
        <v>26000</v>
      </c>
      <c r="T65" s="132">
        <v>0</v>
      </c>
      <c r="U65" s="132">
        <v>3000</v>
      </c>
      <c r="V65" s="132"/>
      <c r="W65" s="132">
        <v>0</v>
      </c>
      <c r="X65" s="132">
        <v>0</v>
      </c>
      <c r="Y65" s="111">
        <v>29000</v>
      </c>
      <c r="Z65" s="133">
        <f t="shared" si="9"/>
        <v>29000</v>
      </c>
      <c r="AA65" s="133">
        <f t="shared" si="10"/>
        <v>0</v>
      </c>
      <c r="AB65" s="141"/>
      <c r="AC65" s="132" t="s">
        <v>602</v>
      </c>
      <c r="AD65" s="132" t="s">
        <v>602</v>
      </c>
      <c r="AE65" s="132" t="s">
        <v>602</v>
      </c>
      <c r="AF65" s="132" t="s">
        <v>602</v>
      </c>
      <c r="AG65" s="132" t="s">
        <v>602</v>
      </c>
      <c r="AH65" s="132"/>
      <c r="AI65" s="111">
        <v>0</v>
      </c>
      <c r="AJ65" s="134">
        <f t="shared" si="8"/>
        <v>0</v>
      </c>
      <c r="AK65" s="134">
        <f t="shared" si="3"/>
        <v>0</v>
      </c>
      <c r="AL65" s="142"/>
      <c r="AM65" s="132" t="s">
        <v>602</v>
      </c>
      <c r="AN65" s="132" t="s">
        <v>602</v>
      </c>
      <c r="AO65" s="132" t="s">
        <v>602</v>
      </c>
      <c r="AP65" s="132" t="s">
        <v>602</v>
      </c>
      <c r="AQ65" s="132" t="s">
        <v>602</v>
      </c>
      <c r="AR65" s="135" t="s">
        <v>602</v>
      </c>
      <c r="AS65" s="116">
        <v>0</v>
      </c>
      <c r="AT65" s="134">
        <f t="shared" si="11"/>
        <v>0</v>
      </c>
      <c r="AU65" s="134">
        <f t="shared" si="4"/>
        <v>0</v>
      </c>
      <c r="AV65" s="142"/>
      <c r="AW65" s="135"/>
      <c r="AX65" s="135"/>
      <c r="AY65" s="135"/>
      <c r="AZ65" s="135"/>
      <c r="BA65" s="135"/>
      <c r="BB65" s="116"/>
      <c r="BC65" s="113"/>
      <c r="BD65" s="116"/>
      <c r="BE65" s="113"/>
      <c r="BF65" s="116"/>
      <c r="BG65" s="116"/>
      <c r="BH65" s="137">
        <f t="shared" si="5"/>
        <v>29000</v>
      </c>
      <c r="BI65" s="138">
        <f t="shared" si="6"/>
        <v>0</v>
      </c>
      <c r="BJ65" s="124" t="s">
        <v>814</v>
      </c>
      <c r="BK65" s="91"/>
    </row>
    <row r="66" spans="1:63" ht="15.75">
      <c r="A66" s="123">
        <v>506458</v>
      </c>
      <c r="B66" s="126">
        <v>205547</v>
      </c>
      <c r="C66" s="124" t="s">
        <v>816</v>
      </c>
      <c r="D66" s="124" t="s">
        <v>817</v>
      </c>
      <c r="E66" s="125" t="s">
        <v>815</v>
      </c>
      <c r="F66" s="124" t="s">
        <v>96</v>
      </c>
      <c r="G66" s="127" t="s">
        <v>46</v>
      </c>
      <c r="H66" s="126" t="s">
        <v>628</v>
      </c>
      <c r="I66" s="126" t="s">
        <v>609</v>
      </c>
      <c r="J66" s="126" t="s">
        <v>610</v>
      </c>
      <c r="K66" s="126" t="s">
        <v>819</v>
      </c>
      <c r="L66" s="121" t="s">
        <v>19</v>
      </c>
      <c r="M66" s="123" t="s">
        <v>820</v>
      </c>
      <c r="N66" s="129">
        <v>43556</v>
      </c>
      <c r="O66" s="129">
        <v>44377</v>
      </c>
      <c r="P66" s="129">
        <v>44377</v>
      </c>
      <c r="Q66" s="130">
        <f>26980*2</f>
        <v>53960</v>
      </c>
      <c r="R66" s="113"/>
      <c r="S66" s="132">
        <v>26980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11">
        <v>26980</v>
      </c>
      <c r="Z66" s="133">
        <f t="shared" ref="Z66:Z94" si="12">SUM(R66:X66)</f>
        <v>26980</v>
      </c>
      <c r="AA66" s="133">
        <f t="shared" ref="AA66:AA94" si="13">Z66-Y66</f>
        <v>0</v>
      </c>
      <c r="AB66" s="141"/>
      <c r="AC66" s="132">
        <v>26980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11">
        <v>26980</v>
      </c>
      <c r="AJ66" s="134">
        <f t="shared" si="8"/>
        <v>26980</v>
      </c>
      <c r="AK66" s="134">
        <f t="shared" ref="AK66:AK129" si="14">AJ66-AI66</f>
        <v>0</v>
      </c>
      <c r="AL66" s="145"/>
      <c r="AM66" s="132" t="s">
        <v>602</v>
      </c>
      <c r="AN66" s="132" t="s">
        <v>602</v>
      </c>
      <c r="AO66" s="132" t="s">
        <v>602</v>
      </c>
      <c r="AP66" s="132" t="s">
        <v>602</v>
      </c>
      <c r="AQ66" s="132" t="s">
        <v>602</v>
      </c>
      <c r="AR66" s="135"/>
      <c r="AS66" s="116"/>
      <c r="AT66" s="134">
        <f t="shared" si="11"/>
        <v>0</v>
      </c>
      <c r="AU66" s="134">
        <f t="shared" ref="AU66:AU129" si="15">AT66-AS66</f>
        <v>0</v>
      </c>
      <c r="AV66" s="142"/>
      <c r="AW66" s="135"/>
      <c r="AX66" s="135"/>
      <c r="AY66" s="135"/>
      <c r="AZ66" s="135"/>
      <c r="BA66" s="135"/>
      <c r="BB66" s="116"/>
      <c r="BC66" s="113"/>
      <c r="BD66" s="116"/>
      <c r="BE66" s="113"/>
      <c r="BF66" s="116"/>
      <c r="BG66" s="116"/>
      <c r="BH66" s="137">
        <f t="shared" ref="BH66:BH129" si="16">SUM(AS66,AI66,Y66,BB66,BD66,BF66,BG66)</f>
        <v>53960</v>
      </c>
      <c r="BI66" s="138">
        <f t="shared" ref="BI66:BI129" si="17">BH66-Q66</f>
        <v>0</v>
      </c>
      <c r="BJ66" s="155" t="s">
        <v>821</v>
      </c>
      <c r="BK66" s="91"/>
    </row>
    <row r="67" spans="1:63" ht="15.75">
      <c r="A67" s="123">
        <v>506485</v>
      </c>
      <c r="B67" s="126">
        <v>205554</v>
      </c>
      <c r="C67" s="124" t="s">
        <v>825</v>
      </c>
      <c r="D67" s="124" t="s">
        <v>826</v>
      </c>
      <c r="E67" s="125" t="s">
        <v>823</v>
      </c>
      <c r="F67" s="124" t="s">
        <v>824</v>
      </c>
      <c r="G67" s="127" t="s">
        <v>46</v>
      </c>
      <c r="H67" s="126" t="s">
        <v>628</v>
      </c>
      <c r="I67" s="126" t="s">
        <v>609</v>
      </c>
      <c r="J67" s="126" t="s">
        <v>818</v>
      </c>
      <c r="K67" s="128"/>
      <c r="L67" s="121" t="s">
        <v>521</v>
      </c>
      <c r="M67" s="123" t="s">
        <v>827</v>
      </c>
      <c r="N67" s="129">
        <v>43466</v>
      </c>
      <c r="O67" s="129">
        <v>44347</v>
      </c>
      <c r="P67" s="129">
        <v>44347</v>
      </c>
      <c r="Q67" s="130">
        <v>20000</v>
      </c>
      <c r="R67" s="113"/>
      <c r="S67" s="132">
        <v>10000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11">
        <v>10000</v>
      </c>
      <c r="Z67" s="133">
        <f t="shared" si="12"/>
        <v>10000</v>
      </c>
      <c r="AA67" s="133">
        <f t="shared" si="13"/>
        <v>0</v>
      </c>
      <c r="AB67" s="141"/>
      <c r="AC67" s="132">
        <v>10000</v>
      </c>
      <c r="AD67" s="132">
        <v>0</v>
      </c>
      <c r="AE67" s="132">
        <v>0</v>
      </c>
      <c r="AF67" s="132">
        <v>0</v>
      </c>
      <c r="AG67" s="132">
        <v>0</v>
      </c>
      <c r="AH67" s="132"/>
      <c r="AI67" s="111">
        <v>10000</v>
      </c>
      <c r="AJ67" s="134">
        <f t="shared" si="8"/>
        <v>10000</v>
      </c>
      <c r="AK67" s="134">
        <f t="shared" si="14"/>
        <v>0</v>
      </c>
      <c r="AL67" s="142"/>
      <c r="AM67" s="135" t="s">
        <v>602</v>
      </c>
      <c r="AN67" s="135" t="s">
        <v>602</v>
      </c>
      <c r="AO67" s="135" t="s">
        <v>602</v>
      </c>
      <c r="AP67" s="135" t="s">
        <v>602</v>
      </c>
      <c r="AQ67" s="135" t="s">
        <v>602</v>
      </c>
      <c r="AR67" s="135" t="s">
        <v>602</v>
      </c>
      <c r="AS67" s="116"/>
      <c r="AT67" s="134">
        <f t="shared" si="11"/>
        <v>0</v>
      </c>
      <c r="AU67" s="134">
        <f t="shared" si="15"/>
        <v>0</v>
      </c>
      <c r="AV67" s="142"/>
      <c r="AW67" s="135"/>
      <c r="AX67" s="135"/>
      <c r="AY67" s="135"/>
      <c r="AZ67" s="135"/>
      <c r="BA67" s="135"/>
      <c r="BB67" s="116"/>
      <c r="BC67" s="113"/>
      <c r="BD67" s="116"/>
      <c r="BE67" s="113"/>
      <c r="BF67" s="116"/>
      <c r="BG67" s="116"/>
      <c r="BH67" s="137">
        <f t="shared" si="16"/>
        <v>20000</v>
      </c>
      <c r="BI67" s="138">
        <f t="shared" si="17"/>
        <v>0</v>
      </c>
      <c r="BJ67" s="126" t="s">
        <v>828</v>
      </c>
      <c r="BK67" s="91"/>
    </row>
    <row r="68" spans="1:63" ht="15.75">
      <c r="A68" s="123">
        <v>504337</v>
      </c>
      <c r="B68" s="126">
        <v>205592</v>
      </c>
      <c r="C68" s="124" t="s">
        <v>830</v>
      </c>
      <c r="D68" s="124" t="s">
        <v>831</v>
      </c>
      <c r="E68" s="125" t="s">
        <v>829</v>
      </c>
      <c r="F68" s="124" t="s">
        <v>213</v>
      </c>
      <c r="G68" s="127" t="s">
        <v>46</v>
      </c>
      <c r="H68" s="126" t="s">
        <v>597</v>
      </c>
      <c r="I68" s="123" t="s">
        <v>703</v>
      </c>
      <c r="J68" s="126" t="s">
        <v>774</v>
      </c>
      <c r="K68" s="128" t="s">
        <v>775</v>
      </c>
      <c r="L68" s="121" t="s">
        <v>19</v>
      </c>
      <c r="M68" s="123" t="s">
        <v>832</v>
      </c>
      <c r="N68" s="129">
        <v>43191</v>
      </c>
      <c r="O68" s="129">
        <v>44104</v>
      </c>
      <c r="P68" s="129">
        <v>44149</v>
      </c>
      <c r="Q68" s="130">
        <f>74230+74230</f>
        <v>148460</v>
      </c>
      <c r="R68" s="113"/>
      <c r="S68" s="132">
        <v>39230</v>
      </c>
      <c r="T68" s="132">
        <v>8000</v>
      </c>
      <c r="U68" s="132">
        <v>19200</v>
      </c>
      <c r="V68" s="132">
        <v>0</v>
      </c>
      <c r="W68" s="132">
        <v>7800</v>
      </c>
      <c r="X68" s="132">
        <v>0</v>
      </c>
      <c r="Y68" s="111">
        <f>SUM(R68:X68)</f>
        <v>74230</v>
      </c>
      <c r="Z68" s="133">
        <f t="shared" si="12"/>
        <v>74230</v>
      </c>
      <c r="AA68" s="133">
        <f t="shared" si="13"/>
        <v>0</v>
      </c>
      <c r="AB68" s="141"/>
      <c r="AC68" s="132">
        <v>37650</v>
      </c>
      <c r="AD68" s="132">
        <v>0</v>
      </c>
      <c r="AE68" s="132">
        <v>11780</v>
      </c>
      <c r="AF68" s="132">
        <v>0</v>
      </c>
      <c r="AG68" s="132">
        <v>24800</v>
      </c>
      <c r="AH68" s="132"/>
      <c r="AI68" s="111">
        <v>74230</v>
      </c>
      <c r="AJ68" s="134">
        <f t="shared" si="8"/>
        <v>74230</v>
      </c>
      <c r="AK68" s="134">
        <f t="shared" si="14"/>
        <v>0</v>
      </c>
      <c r="AL68" s="145"/>
      <c r="AM68" s="132" t="s">
        <v>602</v>
      </c>
      <c r="AN68" s="132" t="s">
        <v>602</v>
      </c>
      <c r="AO68" s="132" t="s">
        <v>602</v>
      </c>
      <c r="AP68" s="132" t="s">
        <v>602</v>
      </c>
      <c r="AQ68" s="132" t="s">
        <v>602</v>
      </c>
      <c r="AR68" s="135" t="s">
        <v>602</v>
      </c>
      <c r="AS68" s="116">
        <v>0</v>
      </c>
      <c r="AT68" s="134">
        <f t="shared" si="11"/>
        <v>0</v>
      </c>
      <c r="AU68" s="134">
        <f t="shared" si="15"/>
        <v>0</v>
      </c>
      <c r="AV68" s="142"/>
      <c r="AW68" s="135"/>
      <c r="AX68" s="135"/>
      <c r="AY68" s="135"/>
      <c r="AZ68" s="135"/>
      <c r="BA68" s="135"/>
      <c r="BB68" s="116"/>
      <c r="BC68" s="113"/>
      <c r="BD68" s="116"/>
      <c r="BE68" s="113"/>
      <c r="BF68" s="116"/>
      <c r="BG68" s="116"/>
      <c r="BH68" s="137">
        <f t="shared" si="16"/>
        <v>148460</v>
      </c>
      <c r="BI68" s="138">
        <f t="shared" si="17"/>
        <v>0</v>
      </c>
      <c r="BJ68" s="126" t="s">
        <v>833</v>
      </c>
      <c r="BK68" s="91"/>
    </row>
    <row r="69" spans="1:63" ht="15.75">
      <c r="A69" s="123">
        <v>507641</v>
      </c>
      <c r="B69" s="126">
        <v>205592</v>
      </c>
      <c r="C69" s="124" t="s">
        <v>830</v>
      </c>
      <c r="D69" s="124" t="s">
        <v>831</v>
      </c>
      <c r="E69" s="125" t="s">
        <v>829</v>
      </c>
      <c r="F69" s="124" t="s">
        <v>213</v>
      </c>
      <c r="G69" s="127" t="s">
        <v>46</v>
      </c>
      <c r="H69" s="126" t="s">
        <v>628</v>
      </c>
      <c r="I69" s="123" t="s">
        <v>703</v>
      </c>
      <c r="J69" s="126" t="s">
        <v>774</v>
      </c>
      <c r="K69" s="169" t="s">
        <v>834</v>
      </c>
      <c r="L69" s="121" t="s">
        <v>519</v>
      </c>
      <c r="M69" s="123" t="s">
        <v>755</v>
      </c>
      <c r="N69" s="129">
        <v>43709</v>
      </c>
      <c r="O69" s="129">
        <v>44530</v>
      </c>
      <c r="P69" s="129">
        <v>44530</v>
      </c>
      <c r="Q69" s="130">
        <f>32000+32000</f>
        <v>64000</v>
      </c>
      <c r="R69" s="113"/>
      <c r="S69" s="132">
        <f>20000-12179.39</f>
        <v>7820.6100000000006</v>
      </c>
      <c r="T69" s="132"/>
      <c r="U69" s="132">
        <f>6000+12179.39+2373.99</f>
        <v>20553.379999999997</v>
      </c>
      <c r="V69" s="132"/>
      <c r="W69" s="132">
        <f>6000-2373.99</f>
        <v>3626.01</v>
      </c>
      <c r="X69" s="132"/>
      <c r="Y69" s="111">
        <v>32000</v>
      </c>
      <c r="Z69" s="133">
        <f t="shared" si="12"/>
        <v>32000</v>
      </c>
      <c r="AA69" s="133">
        <f t="shared" si="13"/>
        <v>0</v>
      </c>
      <c r="AB69" s="141"/>
      <c r="AC69" s="132">
        <v>20000</v>
      </c>
      <c r="AD69" s="132"/>
      <c r="AE69" s="132">
        <v>6000</v>
      </c>
      <c r="AF69" s="132"/>
      <c r="AG69" s="132">
        <v>6000</v>
      </c>
      <c r="AH69" s="132"/>
      <c r="AI69" s="111">
        <v>32000</v>
      </c>
      <c r="AJ69" s="134">
        <f t="shared" si="8"/>
        <v>32000</v>
      </c>
      <c r="AK69" s="134">
        <f t="shared" si="14"/>
        <v>0</v>
      </c>
      <c r="AL69" s="142"/>
      <c r="AM69" s="132">
        <v>20000</v>
      </c>
      <c r="AN69" s="132"/>
      <c r="AO69" s="132">
        <v>6000</v>
      </c>
      <c r="AP69" s="132"/>
      <c r="AQ69" s="132">
        <v>6000</v>
      </c>
      <c r="AR69" s="132"/>
      <c r="AS69" s="116">
        <f>SUM(AM69:AR69)</f>
        <v>32000</v>
      </c>
      <c r="AT69" s="134">
        <f t="shared" si="11"/>
        <v>32000</v>
      </c>
      <c r="AU69" s="134">
        <f t="shared" si="15"/>
        <v>0</v>
      </c>
      <c r="AV69" s="142"/>
      <c r="AW69" s="135"/>
      <c r="AX69" s="135"/>
      <c r="AY69" s="135"/>
      <c r="AZ69" s="135"/>
      <c r="BA69" s="135"/>
      <c r="BB69" s="116"/>
      <c r="BC69" s="113"/>
      <c r="BD69" s="116"/>
      <c r="BE69" s="113"/>
      <c r="BF69" s="116"/>
      <c r="BG69" s="116"/>
      <c r="BH69" s="137">
        <f t="shared" si="16"/>
        <v>96000</v>
      </c>
      <c r="BI69" s="138">
        <f t="shared" si="17"/>
        <v>32000</v>
      </c>
      <c r="BJ69" s="126"/>
      <c r="BK69" s="91"/>
    </row>
    <row r="70" spans="1:63" ht="15.75">
      <c r="A70" s="123">
        <v>500548</v>
      </c>
      <c r="B70" s="126">
        <v>205818</v>
      </c>
      <c r="C70" s="124" t="s">
        <v>837</v>
      </c>
      <c r="D70" s="124" t="s">
        <v>838</v>
      </c>
      <c r="E70" s="125" t="s">
        <v>835</v>
      </c>
      <c r="F70" s="124" t="s">
        <v>836</v>
      </c>
      <c r="G70" s="127" t="s">
        <v>46</v>
      </c>
      <c r="H70" s="126" t="s">
        <v>597</v>
      </c>
      <c r="I70" s="126" t="s">
        <v>598</v>
      </c>
      <c r="J70" s="126" t="s">
        <v>696</v>
      </c>
      <c r="K70" s="128" t="s">
        <v>697</v>
      </c>
      <c r="L70" s="121" t="s">
        <v>637</v>
      </c>
      <c r="M70" s="123" t="s">
        <v>638</v>
      </c>
      <c r="N70" s="129">
        <v>42248</v>
      </c>
      <c r="O70" s="129">
        <v>42643</v>
      </c>
      <c r="P70" s="129">
        <v>42697</v>
      </c>
      <c r="Q70" s="130">
        <v>70000</v>
      </c>
      <c r="R70" s="132">
        <v>60000</v>
      </c>
      <c r="S70" s="132"/>
      <c r="T70" s="132">
        <v>10000</v>
      </c>
      <c r="U70" s="132">
        <v>0</v>
      </c>
      <c r="V70" s="132"/>
      <c r="W70" s="132">
        <v>0</v>
      </c>
      <c r="X70" s="132">
        <v>0</v>
      </c>
      <c r="Y70" s="111">
        <v>70000</v>
      </c>
      <c r="Z70" s="133">
        <f t="shared" si="12"/>
        <v>70000</v>
      </c>
      <c r="AA70" s="133">
        <f t="shared" si="13"/>
        <v>0</v>
      </c>
      <c r="AB70" s="141"/>
      <c r="AC70" s="132" t="s">
        <v>602</v>
      </c>
      <c r="AD70" s="132" t="s">
        <v>602</v>
      </c>
      <c r="AE70" s="132" t="s">
        <v>602</v>
      </c>
      <c r="AF70" s="132" t="s">
        <v>602</v>
      </c>
      <c r="AG70" s="132" t="s">
        <v>602</v>
      </c>
      <c r="AH70" s="132"/>
      <c r="AI70" s="111">
        <v>0</v>
      </c>
      <c r="AJ70" s="134">
        <f t="shared" si="8"/>
        <v>0</v>
      </c>
      <c r="AK70" s="134">
        <f t="shared" si="14"/>
        <v>0</v>
      </c>
      <c r="AL70" s="142"/>
      <c r="AM70" s="132">
        <v>0</v>
      </c>
      <c r="AN70" s="132">
        <v>0</v>
      </c>
      <c r="AO70" s="132">
        <v>0</v>
      </c>
      <c r="AP70" s="132">
        <v>0</v>
      </c>
      <c r="AQ70" s="132">
        <v>0</v>
      </c>
      <c r="AR70" s="132">
        <v>0</v>
      </c>
      <c r="AS70" s="116">
        <v>0</v>
      </c>
      <c r="AT70" s="134">
        <f t="shared" si="11"/>
        <v>0</v>
      </c>
      <c r="AU70" s="134">
        <f t="shared" si="15"/>
        <v>0</v>
      </c>
      <c r="AV70" s="142"/>
      <c r="AW70" s="132" t="s">
        <v>602</v>
      </c>
      <c r="AX70" s="132" t="s">
        <v>602</v>
      </c>
      <c r="AY70" s="132" t="s">
        <v>602</v>
      </c>
      <c r="AZ70" s="132" t="s">
        <v>602</v>
      </c>
      <c r="BA70" s="132" t="s">
        <v>602</v>
      </c>
      <c r="BB70" s="116"/>
      <c r="BC70" s="113"/>
      <c r="BD70" s="116"/>
      <c r="BE70" s="113"/>
      <c r="BF70" s="116"/>
      <c r="BG70" s="116"/>
      <c r="BH70" s="137">
        <f t="shared" si="16"/>
        <v>70000</v>
      </c>
      <c r="BI70" s="138">
        <f t="shared" si="17"/>
        <v>0</v>
      </c>
      <c r="BJ70" s="126"/>
      <c r="BK70" s="91"/>
    </row>
    <row r="71" spans="1:63" ht="15.75">
      <c r="A71" s="123">
        <v>501332</v>
      </c>
      <c r="B71" s="126">
        <v>205818</v>
      </c>
      <c r="C71" s="124" t="s">
        <v>837</v>
      </c>
      <c r="D71" s="124" t="s">
        <v>838</v>
      </c>
      <c r="E71" s="125" t="s">
        <v>835</v>
      </c>
      <c r="F71" s="124" t="s">
        <v>836</v>
      </c>
      <c r="G71" s="127" t="s">
        <v>46</v>
      </c>
      <c r="H71" s="126" t="s">
        <v>628</v>
      </c>
      <c r="I71" s="126" t="s">
        <v>598</v>
      </c>
      <c r="J71" s="126" t="s">
        <v>696</v>
      </c>
      <c r="K71" s="161" t="s">
        <v>697</v>
      </c>
      <c r="L71" s="121" t="s">
        <v>515</v>
      </c>
      <c r="M71" s="123" t="s">
        <v>839</v>
      </c>
      <c r="N71" s="129">
        <v>42614</v>
      </c>
      <c r="O71" s="129">
        <v>43708</v>
      </c>
      <c r="P71" s="129">
        <v>43708</v>
      </c>
      <c r="Q71" s="130">
        <v>75000</v>
      </c>
      <c r="R71" s="113"/>
      <c r="S71" s="132">
        <v>25000</v>
      </c>
      <c r="T71" s="132">
        <v>0</v>
      </c>
      <c r="U71" s="132">
        <v>0</v>
      </c>
      <c r="V71" s="132"/>
      <c r="W71" s="132">
        <v>0</v>
      </c>
      <c r="X71" s="132">
        <v>0</v>
      </c>
      <c r="Y71" s="111">
        <v>25000</v>
      </c>
      <c r="Z71" s="133">
        <f t="shared" si="12"/>
        <v>25000</v>
      </c>
      <c r="AA71" s="133">
        <f t="shared" si="13"/>
        <v>0</v>
      </c>
      <c r="AB71" s="141"/>
      <c r="AC71" s="132">
        <v>25000</v>
      </c>
      <c r="AD71" s="132">
        <v>0</v>
      </c>
      <c r="AE71" s="132">
        <v>0</v>
      </c>
      <c r="AF71" s="132">
        <v>0</v>
      </c>
      <c r="AG71" s="132">
        <v>0</v>
      </c>
      <c r="AH71" s="132"/>
      <c r="AI71" s="111">
        <v>25000</v>
      </c>
      <c r="AJ71" s="134">
        <f t="shared" si="8"/>
        <v>25000</v>
      </c>
      <c r="AK71" s="134">
        <f t="shared" si="14"/>
        <v>0</v>
      </c>
      <c r="AL71" s="142"/>
      <c r="AM71" s="135">
        <v>25000</v>
      </c>
      <c r="AN71" s="135">
        <v>0</v>
      </c>
      <c r="AO71" s="135">
        <v>0</v>
      </c>
      <c r="AP71" s="135"/>
      <c r="AQ71" s="135">
        <v>0</v>
      </c>
      <c r="AR71" s="135">
        <v>0</v>
      </c>
      <c r="AS71" s="116">
        <v>25000</v>
      </c>
      <c r="AT71" s="134">
        <f t="shared" si="11"/>
        <v>25000</v>
      </c>
      <c r="AU71" s="134">
        <f t="shared" si="15"/>
        <v>0</v>
      </c>
      <c r="AV71" s="142"/>
      <c r="AW71" s="135"/>
      <c r="AX71" s="135"/>
      <c r="AY71" s="135"/>
      <c r="AZ71" s="135"/>
      <c r="BA71" s="135"/>
      <c r="BB71" s="116"/>
      <c r="BC71" s="113"/>
      <c r="BD71" s="116"/>
      <c r="BE71" s="113"/>
      <c r="BF71" s="116"/>
      <c r="BG71" s="116"/>
      <c r="BH71" s="137">
        <f t="shared" si="16"/>
        <v>75000</v>
      </c>
      <c r="BI71" s="138">
        <f t="shared" si="17"/>
        <v>0</v>
      </c>
      <c r="BJ71" s="126"/>
      <c r="BK71" s="91"/>
    </row>
    <row r="72" spans="1:63" ht="15.75">
      <c r="A72" s="123">
        <v>501333</v>
      </c>
      <c r="B72" s="126">
        <v>205818</v>
      </c>
      <c r="C72" s="124" t="s">
        <v>837</v>
      </c>
      <c r="D72" s="124" t="s">
        <v>838</v>
      </c>
      <c r="E72" s="125" t="s">
        <v>835</v>
      </c>
      <c r="F72" s="124" t="s">
        <v>836</v>
      </c>
      <c r="G72" s="127" t="s">
        <v>46</v>
      </c>
      <c r="H72" s="126" t="s">
        <v>628</v>
      </c>
      <c r="I72" s="126" t="s">
        <v>598</v>
      </c>
      <c r="J72" s="126" t="s">
        <v>696</v>
      </c>
      <c r="K72" s="128" t="s">
        <v>697</v>
      </c>
      <c r="L72" s="121" t="s">
        <v>515</v>
      </c>
      <c r="M72" s="123" t="s">
        <v>797</v>
      </c>
      <c r="N72" s="129">
        <v>42614</v>
      </c>
      <c r="O72" s="129">
        <v>43830</v>
      </c>
      <c r="P72" s="129">
        <v>44144</v>
      </c>
      <c r="Q72" s="130">
        <v>180000</v>
      </c>
      <c r="R72" s="113"/>
      <c r="S72" s="132">
        <v>60000</v>
      </c>
      <c r="T72" s="132">
        <v>0</v>
      </c>
      <c r="U72" s="132">
        <v>0</v>
      </c>
      <c r="V72" s="132"/>
      <c r="W72" s="132">
        <v>0</v>
      </c>
      <c r="X72" s="132">
        <v>0</v>
      </c>
      <c r="Y72" s="111">
        <v>60000</v>
      </c>
      <c r="Z72" s="133">
        <f t="shared" si="12"/>
        <v>60000</v>
      </c>
      <c r="AA72" s="133">
        <f t="shared" si="13"/>
        <v>0</v>
      </c>
      <c r="AB72" s="141"/>
      <c r="AC72" s="132">
        <v>60000</v>
      </c>
      <c r="AD72" s="132">
        <v>0</v>
      </c>
      <c r="AE72" s="132">
        <v>0</v>
      </c>
      <c r="AF72" s="132">
        <v>0</v>
      </c>
      <c r="AG72" s="132">
        <v>0</v>
      </c>
      <c r="AH72" s="132"/>
      <c r="AI72" s="111">
        <v>60000</v>
      </c>
      <c r="AJ72" s="134">
        <f t="shared" si="8"/>
        <v>60000</v>
      </c>
      <c r="AK72" s="134">
        <f t="shared" si="14"/>
        <v>0</v>
      </c>
      <c r="AL72" s="142"/>
      <c r="AM72" s="135">
        <v>60000</v>
      </c>
      <c r="AN72" s="135">
        <v>0</v>
      </c>
      <c r="AO72" s="135">
        <v>0</v>
      </c>
      <c r="AP72" s="135"/>
      <c r="AQ72" s="135">
        <v>0</v>
      </c>
      <c r="AR72" s="135">
        <v>0</v>
      </c>
      <c r="AS72" s="116">
        <v>60000</v>
      </c>
      <c r="AT72" s="134">
        <f t="shared" si="11"/>
        <v>60000</v>
      </c>
      <c r="AU72" s="134">
        <f t="shared" si="15"/>
        <v>0</v>
      </c>
      <c r="AV72" s="142"/>
      <c r="AW72" s="135"/>
      <c r="AX72" s="135"/>
      <c r="AY72" s="135"/>
      <c r="AZ72" s="135"/>
      <c r="BA72" s="135"/>
      <c r="BB72" s="116"/>
      <c r="BC72" s="113"/>
      <c r="BD72" s="116"/>
      <c r="BE72" s="113"/>
      <c r="BF72" s="116"/>
      <c r="BG72" s="116"/>
      <c r="BH72" s="137">
        <f t="shared" si="16"/>
        <v>180000</v>
      </c>
      <c r="BI72" s="138">
        <f t="shared" si="17"/>
        <v>0</v>
      </c>
      <c r="BJ72" s="126"/>
      <c r="BK72" s="91"/>
    </row>
    <row r="73" spans="1:63" ht="15.75">
      <c r="A73" s="123">
        <v>501334</v>
      </c>
      <c r="B73" s="126">
        <v>205818</v>
      </c>
      <c r="C73" s="124" t="s">
        <v>837</v>
      </c>
      <c r="D73" s="124" t="s">
        <v>838</v>
      </c>
      <c r="E73" s="125" t="s">
        <v>835</v>
      </c>
      <c r="F73" s="124" t="s">
        <v>836</v>
      </c>
      <c r="G73" s="127" t="s">
        <v>46</v>
      </c>
      <c r="H73" s="126" t="s">
        <v>628</v>
      </c>
      <c r="I73" s="126" t="s">
        <v>598</v>
      </c>
      <c r="J73" s="126" t="s">
        <v>696</v>
      </c>
      <c r="K73" s="128" t="s">
        <v>697</v>
      </c>
      <c r="L73" s="121" t="s">
        <v>515</v>
      </c>
      <c r="M73" s="123" t="s">
        <v>840</v>
      </c>
      <c r="N73" s="129">
        <v>42614</v>
      </c>
      <c r="O73" s="129">
        <v>43708</v>
      </c>
      <c r="P73" s="129">
        <v>44144</v>
      </c>
      <c r="Q73" s="130">
        <v>168000</v>
      </c>
      <c r="R73" s="113"/>
      <c r="S73" s="132">
        <v>56000</v>
      </c>
      <c r="T73" s="132">
        <v>0</v>
      </c>
      <c r="U73" s="132">
        <v>0</v>
      </c>
      <c r="V73" s="132"/>
      <c r="W73" s="132">
        <v>0</v>
      </c>
      <c r="X73" s="132">
        <v>0</v>
      </c>
      <c r="Y73" s="111">
        <v>56000</v>
      </c>
      <c r="Z73" s="133">
        <f t="shared" si="12"/>
        <v>56000</v>
      </c>
      <c r="AA73" s="133">
        <f t="shared" si="13"/>
        <v>0</v>
      </c>
      <c r="AB73" s="141"/>
      <c r="AC73" s="132">
        <v>56000</v>
      </c>
      <c r="AD73" s="132">
        <v>0</v>
      </c>
      <c r="AE73" s="132">
        <v>0</v>
      </c>
      <c r="AF73" s="132">
        <v>0</v>
      </c>
      <c r="AG73" s="132">
        <v>0</v>
      </c>
      <c r="AH73" s="132"/>
      <c r="AI73" s="111">
        <v>56000</v>
      </c>
      <c r="AJ73" s="134">
        <f t="shared" si="8"/>
        <v>56000</v>
      </c>
      <c r="AK73" s="134">
        <f t="shared" si="14"/>
        <v>0</v>
      </c>
      <c r="AL73" s="142"/>
      <c r="AM73" s="135">
        <v>56000</v>
      </c>
      <c r="AN73" s="135">
        <v>0</v>
      </c>
      <c r="AO73" s="135">
        <v>0</v>
      </c>
      <c r="AP73" s="135"/>
      <c r="AQ73" s="135">
        <v>0</v>
      </c>
      <c r="AR73" s="135">
        <v>0</v>
      </c>
      <c r="AS73" s="116">
        <v>56000</v>
      </c>
      <c r="AT73" s="134">
        <f t="shared" ref="AT73:AT104" si="18">SUM(AL73:AR73)</f>
        <v>56000</v>
      </c>
      <c r="AU73" s="134">
        <f t="shared" si="15"/>
        <v>0</v>
      </c>
      <c r="AV73" s="142"/>
      <c r="AW73" s="135"/>
      <c r="AX73" s="135"/>
      <c r="AY73" s="135"/>
      <c r="AZ73" s="135"/>
      <c r="BA73" s="135"/>
      <c r="BB73" s="116"/>
      <c r="BC73" s="113"/>
      <c r="BD73" s="116"/>
      <c r="BE73" s="113"/>
      <c r="BF73" s="116"/>
      <c r="BG73" s="116"/>
      <c r="BH73" s="137">
        <f t="shared" si="16"/>
        <v>168000</v>
      </c>
      <c r="BI73" s="138">
        <f t="shared" si="17"/>
        <v>0</v>
      </c>
      <c r="BJ73" s="126"/>
      <c r="BK73" s="91"/>
    </row>
    <row r="74" spans="1:63" ht="15.75">
      <c r="A74" s="123">
        <v>499902</v>
      </c>
      <c r="B74" s="126">
        <v>205839</v>
      </c>
      <c r="C74" s="124" t="s">
        <v>649</v>
      </c>
      <c r="D74" s="124" t="s">
        <v>843</v>
      </c>
      <c r="E74" s="125" t="s">
        <v>841</v>
      </c>
      <c r="F74" s="124" t="s">
        <v>842</v>
      </c>
      <c r="G74" s="127" t="s">
        <v>46</v>
      </c>
      <c r="H74" s="126" t="s">
        <v>597</v>
      </c>
      <c r="I74" s="123" t="s">
        <v>703</v>
      </c>
      <c r="J74" s="126" t="s">
        <v>704</v>
      </c>
      <c r="K74" s="128" t="s">
        <v>705</v>
      </c>
      <c r="L74" s="121" t="s">
        <v>637</v>
      </c>
      <c r="M74" s="123" t="s">
        <v>638</v>
      </c>
      <c r="N74" s="129">
        <v>42248</v>
      </c>
      <c r="O74" s="129">
        <v>42460</v>
      </c>
      <c r="P74" s="129">
        <v>42668</v>
      </c>
      <c r="Q74" s="130">
        <v>30000</v>
      </c>
      <c r="R74" s="132">
        <v>30000</v>
      </c>
      <c r="S74" s="132"/>
      <c r="T74" s="132">
        <v>0</v>
      </c>
      <c r="U74" s="132">
        <v>0</v>
      </c>
      <c r="V74" s="132"/>
      <c r="W74" s="132">
        <v>0</v>
      </c>
      <c r="X74" s="132">
        <v>0</v>
      </c>
      <c r="Y74" s="111">
        <v>30000</v>
      </c>
      <c r="Z74" s="133">
        <f t="shared" si="12"/>
        <v>30000</v>
      </c>
      <c r="AA74" s="133">
        <f t="shared" si="13"/>
        <v>0</v>
      </c>
      <c r="AB74" s="141"/>
      <c r="AC74" s="132" t="s">
        <v>602</v>
      </c>
      <c r="AD74" s="132" t="s">
        <v>602</v>
      </c>
      <c r="AE74" s="132" t="s">
        <v>602</v>
      </c>
      <c r="AF74" s="132" t="s">
        <v>602</v>
      </c>
      <c r="AG74" s="132" t="s">
        <v>602</v>
      </c>
      <c r="AH74" s="132"/>
      <c r="AI74" s="111">
        <v>0</v>
      </c>
      <c r="AJ74" s="134">
        <f t="shared" si="8"/>
        <v>0</v>
      </c>
      <c r="AK74" s="134">
        <f t="shared" si="14"/>
        <v>0</v>
      </c>
      <c r="AL74" s="142"/>
      <c r="AM74" s="132" t="s">
        <v>602</v>
      </c>
      <c r="AN74" s="132" t="s">
        <v>602</v>
      </c>
      <c r="AO74" s="132" t="s">
        <v>602</v>
      </c>
      <c r="AP74" s="132" t="s">
        <v>602</v>
      </c>
      <c r="AQ74" s="132" t="s">
        <v>602</v>
      </c>
      <c r="AR74" s="135" t="s">
        <v>602</v>
      </c>
      <c r="AS74" s="116">
        <v>0</v>
      </c>
      <c r="AT74" s="134">
        <f t="shared" si="18"/>
        <v>0</v>
      </c>
      <c r="AU74" s="134">
        <f t="shared" si="15"/>
        <v>0</v>
      </c>
      <c r="AV74" s="142"/>
      <c r="AW74" s="132" t="s">
        <v>602</v>
      </c>
      <c r="AX74" s="132" t="s">
        <v>602</v>
      </c>
      <c r="AY74" s="132" t="s">
        <v>602</v>
      </c>
      <c r="AZ74" s="132" t="s">
        <v>602</v>
      </c>
      <c r="BA74" s="132" t="s">
        <v>602</v>
      </c>
      <c r="BB74" s="116"/>
      <c r="BC74" s="113"/>
      <c r="BD74" s="116"/>
      <c r="BE74" s="113"/>
      <c r="BF74" s="116"/>
      <c r="BG74" s="116"/>
      <c r="BH74" s="137">
        <f t="shared" si="16"/>
        <v>30000</v>
      </c>
      <c r="BI74" s="138">
        <f t="shared" si="17"/>
        <v>0</v>
      </c>
      <c r="BJ74" s="126" t="s">
        <v>844</v>
      </c>
      <c r="BK74" s="91"/>
    </row>
    <row r="75" spans="1:63" ht="15.75">
      <c r="A75" s="123">
        <v>501333</v>
      </c>
      <c r="B75" s="126">
        <v>205839</v>
      </c>
      <c r="C75" s="124" t="s">
        <v>649</v>
      </c>
      <c r="D75" s="124" t="s">
        <v>843</v>
      </c>
      <c r="E75" s="125" t="s">
        <v>841</v>
      </c>
      <c r="F75" s="124" t="s">
        <v>842</v>
      </c>
      <c r="G75" s="127" t="s">
        <v>46</v>
      </c>
      <c r="H75" s="126" t="s">
        <v>628</v>
      </c>
      <c r="I75" s="123" t="s">
        <v>703</v>
      </c>
      <c r="J75" s="126" t="s">
        <v>704</v>
      </c>
      <c r="K75" s="128" t="s">
        <v>705</v>
      </c>
      <c r="L75" s="121" t="s">
        <v>515</v>
      </c>
      <c r="M75" s="123" t="s">
        <v>797</v>
      </c>
      <c r="N75" s="129">
        <v>42614</v>
      </c>
      <c r="O75" s="129">
        <v>43830</v>
      </c>
      <c r="P75" s="129">
        <v>44144</v>
      </c>
      <c r="Q75" s="130">
        <v>276072</v>
      </c>
      <c r="R75" s="113"/>
      <c r="S75" s="132">
        <v>65000</v>
      </c>
      <c r="T75" s="132">
        <v>0</v>
      </c>
      <c r="U75" s="132">
        <v>15000</v>
      </c>
      <c r="V75" s="132"/>
      <c r="W75" s="132">
        <v>12024</v>
      </c>
      <c r="X75" s="132">
        <v>0</v>
      </c>
      <c r="Y75" s="111">
        <v>92024</v>
      </c>
      <c r="Z75" s="133">
        <f t="shared" si="12"/>
        <v>92024</v>
      </c>
      <c r="AA75" s="133">
        <f t="shared" si="13"/>
        <v>0</v>
      </c>
      <c r="AB75" s="141"/>
      <c r="AC75" s="132">
        <v>65000</v>
      </c>
      <c r="AD75" s="132">
        <v>0</v>
      </c>
      <c r="AE75" s="132">
        <v>15000</v>
      </c>
      <c r="AF75" s="132"/>
      <c r="AG75" s="132">
        <v>12024</v>
      </c>
      <c r="AH75" s="132"/>
      <c r="AI75" s="111">
        <v>92024</v>
      </c>
      <c r="AJ75" s="134">
        <f t="shared" si="8"/>
        <v>92024</v>
      </c>
      <c r="AK75" s="134">
        <f t="shared" si="14"/>
        <v>0</v>
      </c>
      <c r="AL75" s="142"/>
      <c r="AM75" s="135">
        <v>65000</v>
      </c>
      <c r="AN75" s="135">
        <v>0</v>
      </c>
      <c r="AO75" s="135">
        <v>15000</v>
      </c>
      <c r="AP75" s="135"/>
      <c r="AQ75" s="135">
        <v>12024</v>
      </c>
      <c r="AR75" s="135">
        <v>0</v>
      </c>
      <c r="AS75" s="116">
        <v>92024</v>
      </c>
      <c r="AT75" s="134">
        <f t="shared" si="18"/>
        <v>92024</v>
      </c>
      <c r="AU75" s="134">
        <f t="shared" si="15"/>
        <v>0</v>
      </c>
      <c r="AV75" s="142"/>
      <c r="AW75" s="135"/>
      <c r="AX75" s="135"/>
      <c r="AY75" s="135"/>
      <c r="AZ75" s="135"/>
      <c r="BA75" s="135"/>
      <c r="BB75" s="116"/>
      <c r="BC75" s="113"/>
      <c r="BD75" s="116"/>
      <c r="BE75" s="113"/>
      <c r="BF75" s="116"/>
      <c r="BG75" s="116"/>
      <c r="BH75" s="137">
        <f t="shared" si="16"/>
        <v>276072</v>
      </c>
      <c r="BI75" s="138">
        <f t="shared" si="17"/>
        <v>0</v>
      </c>
      <c r="BJ75" s="126"/>
      <c r="BK75" s="91"/>
    </row>
    <row r="76" spans="1:63" ht="15.75">
      <c r="A76" s="123">
        <v>502560</v>
      </c>
      <c r="B76" s="126">
        <v>205839</v>
      </c>
      <c r="C76" s="124" t="s">
        <v>649</v>
      </c>
      <c r="D76" s="124" t="s">
        <v>843</v>
      </c>
      <c r="E76" s="125" t="s">
        <v>841</v>
      </c>
      <c r="F76" s="124" t="s">
        <v>842</v>
      </c>
      <c r="G76" s="127" t="s">
        <v>46</v>
      </c>
      <c r="H76" s="126" t="s">
        <v>597</v>
      </c>
      <c r="I76" s="123" t="s">
        <v>703</v>
      </c>
      <c r="J76" s="126" t="s">
        <v>704</v>
      </c>
      <c r="K76" s="128" t="s">
        <v>705</v>
      </c>
      <c r="L76" s="121" t="s">
        <v>19</v>
      </c>
      <c r="M76" s="123" t="s">
        <v>798</v>
      </c>
      <c r="N76" s="129">
        <v>42826</v>
      </c>
      <c r="O76" s="129">
        <v>43555</v>
      </c>
      <c r="P76" s="129">
        <v>43555</v>
      </c>
      <c r="Q76" s="130">
        <f>Y76+AI76</f>
        <v>116800</v>
      </c>
      <c r="R76" s="113"/>
      <c r="S76" s="132">
        <v>30000</v>
      </c>
      <c r="T76" s="132">
        <v>0</v>
      </c>
      <c r="U76" s="132">
        <v>28400</v>
      </c>
      <c r="V76" s="132">
        <v>0</v>
      </c>
      <c r="W76" s="132">
        <v>0</v>
      </c>
      <c r="X76" s="132">
        <v>0</v>
      </c>
      <c r="Y76" s="111">
        <v>58400</v>
      </c>
      <c r="Z76" s="133">
        <f t="shared" si="12"/>
        <v>58400</v>
      </c>
      <c r="AA76" s="133">
        <f t="shared" si="13"/>
        <v>0</v>
      </c>
      <c r="AB76" s="141"/>
      <c r="AC76" s="132">
        <v>30000</v>
      </c>
      <c r="AD76" s="132">
        <v>0</v>
      </c>
      <c r="AE76" s="132">
        <v>28400</v>
      </c>
      <c r="AF76" s="132">
        <v>0</v>
      </c>
      <c r="AG76" s="132">
        <v>0</v>
      </c>
      <c r="AH76" s="132"/>
      <c r="AI76" s="111">
        <v>58400</v>
      </c>
      <c r="AJ76" s="134">
        <f t="shared" si="8"/>
        <v>58400</v>
      </c>
      <c r="AK76" s="134">
        <f t="shared" si="14"/>
        <v>0</v>
      </c>
      <c r="AL76" s="145"/>
      <c r="AM76" s="132" t="s">
        <v>602</v>
      </c>
      <c r="AN76" s="132" t="s">
        <v>602</v>
      </c>
      <c r="AO76" s="132" t="s">
        <v>602</v>
      </c>
      <c r="AP76" s="132" t="s">
        <v>602</v>
      </c>
      <c r="AQ76" s="132" t="s">
        <v>602</v>
      </c>
      <c r="AR76" s="135" t="s">
        <v>602</v>
      </c>
      <c r="AS76" s="116">
        <v>0</v>
      </c>
      <c r="AT76" s="134">
        <f t="shared" si="18"/>
        <v>0</v>
      </c>
      <c r="AU76" s="134">
        <f t="shared" si="15"/>
        <v>0</v>
      </c>
      <c r="AV76" s="142"/>
      <c r="AW76" s="135"/>
      <c r="AX76" s="135"/>
      <c r="AY76" s="135"/>
      <c r="AZ76" s="135"/>
      <c r="BA76" s="135"/>
      <c r="BB76" s="116"/>
      <c r="BC76" s="113"/>
      <c r="BD76" s="116"/>
      <c r="BE76" s="113"/>
      <c r="BF76" s="116"/>
      <c r="BG76" s="116"/>
      <c r="BH76" s="137">
        <f t="shared" si="16"/>
        <v>116800</v>
      </c>
      <c r="BI76" s="138">
        <f t="shared" si="17"/>
        <v>0</v>
      </c>
      <c r="BJ76" s="126"/>
      <c r="BK76" s="91"/>
    </row>
    <row r="77" spans="1:63" ht="15.75">
      <c r="A77" s="123">
        <v>504321</v>
      </c>
      <c r="B77" s="126">
        <v>205839</v>
      </c>
      <c r="C77" s="124" t="s">
        <v>649</v>
      </c>
      <c r="D77" s="124" t="s">
        <v>843</v>
      </c>
      <c r="E77" s="125" t="s">
        <v>841</v>
      </c>
      <c r="F77" s="124" t="s">
        <v>842</v>
      </c>
      <c r="G77" s="127" t="s">
        <v>46</v>
      </c>
      <c r="H77" s="126" t="s">
        <v>597</v>
      </c>
      <c r="I77" s="123" t="s">
        <v>703</v>
      </c>
      <c r="J77" s="126" t="s">
        <v>704</v>
      </c>
      <c r="K77" s="128" t="s">
        <v>705</v>
      </c>
      <c r="L77" s="121" t="s">
        <v>517</v>
      </c>
      <c r="M77" s="123" t="s">
        <v>845</v>
      </c>
      <c r="N77" s="129">
        <v>43191</v>
      </c>
      <c r="O77" s="129">
        <v>44286</v>
      </c>
      <c r="P77" s="129">
        <v>44286</v>
      </c>
      <c r="Q77" s="130">
        <f>100000+50000</f>
        <v>150000</v>
      </c>
      <c r="R77" s="113"/>
      <c r="S77" s="132">
        <v>50000</v>
      </c>
      <c r="T77" s="132">
        <v>0</v>
      </c>
      <c r="U77" s="132">
        <v>0</v>
      </c>
      <c r="V77" s="132"/>
      <c r="W77" s="132">
        <v>0</v>
      </c>
      <c r="X77" s="132">
        <v>0</v>
      </c>
      <c r="Y77" s="111">
        <v>50000</v>
      </c>
      <c r="Z77" s="133">
        <f t="shared" si="12"/>
        <v>50000</v>
      </c>
      <c r="AA77" s="133">
        <f t="shared" si="13"/>
        <v>0</v>
      </c>
      <c r="AB77" s="141"/>
      <c r="AC77" s="132">
        <v>50000</v>
      </c>
      <c r="AD77" s="132">
        <v>0</v>
      </c>
      <c r="AE77" s="132">
        <v>0</v>
      </c>
      <c r="AF77" s="132">
        <v>0</v>
      </c>
      <c r="AG77" s="132">
        <v>0</v>
      </c>
      <c r="AH77" s="132"/>
      <c r="AI77" s="111">
        <v>50000</v>
      </c>
      <c r="AJ77" s="134">
        <f t="shared" si="8"/>
        <v>50000</v>
      </c>
      <c r="AK77" s="134">
        <f t="shared" si="14"/>
        <v>0</v>
      </c>
      <c r="AL77" s="142"/>
      <c r="AM77" s="132">
        <v>50000</v>
      </c>
      <c r="AN77" s="132">
        <v>0</v>
      </c>
      <c r="AO77" s="132">
        <v>0</v>
      </c>
      <c r="AP77" s="132">
        <v>0</v>
      </c>
      <c r="AQ77" s="132">
        <v>0</v>
      </c>
      <c r="AR77" s="135">
        <v>0</v>
      </c>
      <c r="AS77" s="116">
        <v>50000</v>
      </c>
      <c r="AT77" s="134">
        <f t="shared" si="18"/>
        <v>50000</v>
      </c>
      <c r="AU77" s="134">
        <f t="shared" si="15"/>
        <v>0</v>
      </c>
      <c r="AV77" s="142"/>
      <c r="AW77" s="135"/>
      <c r="AX77" s="135"/>
      <c r="AY77" s="135"/>
      <c r="AZ77" s="135"/>
      <c r="BA77" s="135"/>
      <c r="BB77" s="116"/>
      <c r="BC77" s="113"/>
      <c r="BD77" s="116"/>
      <c r="BE77" s="113"/>
      <c r="BF77" s="116"/>
      <c r="BG77" s="116"/>
      <c r="BH77" s="137">
        <f t="shared" si="16"/>
        <v>150000</v>
      </c>
      <c r="BI77" s="138">
        <f t="shared" si="17"/>
        <v>0</v>
      </c>
      <c r="BJ77" s="126" t="s">
        <v>846</v>
      </c>
      <c r="BK77" s="91"/>
    </row>
    <row r="78" spans="1:63" ht="63">
      <c r="A78" s="123">
        <v>507639</v>
      </c>
      <c r="B78" s="126">
        <v>205839</v>
      </c>
      <c r="C78" s="124" t="s">
        <v>649</v>
      </c>
      <c r="D78" s="124" t="s">
        <v>843</v>
      </c>
      <c r="E78" s="125" t="s">
        <v>841</v>
      </c>
      <c r="F78" s="124" t="s">
        <v>842</v>
      </c>
      <c r="G78" s="127" t="s">
        <v>46</v>
      </c>
      <c r="H78" s="126" t="s">
        <v>628</v>
      </c>
      <c r="I78" s="123" t="s">
        <v>703</v>
      </c>
      <c r="J78" s="126" t="s">
        <v>704</v>
      </c>
      <c r="K78" s="191" t="s">
        <v>705</v>
      </c>
      <c r="L78" s="121" t="s">
        <v>519</v>
      </c>
      <c r="M78" s="123" t="s">
        <v>847</v>
      </c>
      <c r="N78" s="129">
        <v>43709</v>
      </c>
      <c r="O78" s="129">
        <v>44530</v>
      </c>
      <c r="P78" s="129">
        <v>44530</v>
      </c>
      <c r="Q78" s="130">
        <v>40000</v>
      </c>
      <c r="R78" s="113"/>
      <c r="S78" s="132"/>
      <c r="T78" s="132"/>
      <c r="U78" s="132">
        <v>40000</v>
      </c>
      <c r="V78" s="132"/>
      <c r="W78" s="132"/>
      <c r="X78" s="132"/>
      <c r="Y78" s="111">
        <v>40000</v>
      </c>
      <c r="Z78" s="133">
        <f t="shared" si="12"/>
        <v>40000</v>
      </c>
      <c r="AA78" s="133">
        <f t="shared" si="13"/>
        <v>0</v>
      </c>
      <c r="AB78" s="141"/>
      <c r="AC78" s="132"/>
      <c r="AD78" s="132"/>
      <c r="AE78" s="132">
        <v>0</v>
      </c>
      <c r="AF78" s="132"/>
      <c r="AG78" s="132"/>
      <c r="AH78" s="132"/>
      <c r="AI78" s="111">
        <v>0</v>
      </c>
      <c r="AJ78" s="134">
        <f t="shared" si="8"/>
        <v>0</v>
      </c>
      <c r="AK78" s="134">
        <f t="shared" si="14"/>
        <v>0</v>
      </c>
      <c r="AL78" s="142"/>
      <c r="AM78" s="132"/>
      <c r="AN78" s="132"/>
      <c r="AO78" s="132">
        <v>0</v>
      </c>
      <c r="AP78" s="132"/>
      <c r="AQ78" s="135"/>
      <c r="AR78" s="135"/>
      <c r="AS78" s="116">
        <f>SUM(AM78:AR78)</f>
        <v>0</v>
      </c>
      <c r="AT78" s="134">
        <f t="shared" si="18"/>
        <v>0</v>
      </c>
      <c r="AU78" s="134">
        <f t="shared" si="15"/>
        <v>0</v>
      </c>
      <c r="AV78" s="142"/>
      <c r="AW78" s="135"/>
      <c r="AX78" s="135"/>
      <c r="AY78" s="135"/>
      <c r="AZ78" s="135"/>
      <c r="BA78" s="135"/>
      <c r="BB78" s="116"/>
      <c r="BC78" s="113"/>
      <c r="BD78" s="116"/>
      <c r="BE78" s="113"/>
      <c r="BF78" s="116"/>
      <c r="BG78" s="116"/>
      <c r="BH78" s="137">
        <f t="shared" si="16"/>
        <v>40000</v>
      </c>
      <c r="BI78" s="138">
        <f t="shared" si="17"/>
        <v>0</v>
      </c>
      <c r="BJ78" s="126" t="s">
        <v>848</v>
      </c>
      <c r="BK78" s="91"/>
    </row>
    <row r="79" spans="1:63" ht="15.75">
      <c r="A79" s="123">
        <v>499935</v>
      </c>
      <c r="B79" s="126">
        <v>205982</v>
      </c>
      <c r="C79" s="121" t="s">
        <v>851</v>
      </c>
      <c r="D79" s="121" t="s">
        <v>852</v>
      </c>
      <c r="E79" s="125" t="s">
        <v>849</v>
      </c>
      <c r="F79" s="124" t="s">
        <v>850</v>
      </c>
      <c r="G79" s="127" t="s">
        <v>46</v>
      </c>
      <c r="H79" s="123" t="s">
        <v>597</v>
      </c>
      <c r="I79" s="123" t="s">
        <v>703</v>
      </c>
      <c r="J79" s="126" t="s">
        <v>774</v>
      </c>
      <c r="K79" s="128" t="s">
        <v>775</v>
      </c>
      <c r="L79" s="121" t="s">
        <v>637</v>
      </c>
      <c r="M79" s="123" t="s">
        <v>638</v>
      </c>
      <c r="N79" s="129">
        <v>42248</v>
      </c>
      <c r="O79" s="129">
        <v>42460</v>
      </c>
      <c r="P79" s="129">
        <v>42668</v>
      </c>
      <c r="Q79" s="144">
        <v>23000</v>
      </c>
      <c r="R79" s="132">
        <v>23000</v>
      </c>
      <c r="S79" s="132"/>
      <c r="T79" s="132">
        <v>0</v>
      </c>
      <c r="U79" s="132">
        <v>0</v>
      </c>
      <c r="V79" s="132"/>
      <c r="W79" s="132">
        <v>0</v>
      </c>
      <c r="X79" s="132">
        <v>0</v>
      </c>
      <c r="Y79" s="111">
        <v>23000</v>
      </c>
      <c r="Z79" s="133">
        <f t="shared" si="12"/>
        <v>23000</v>
      </c>
      <c r="AA79" s="133">
        <f t="shared" si="13"/>
        <v>0</v>
      </c>
      <c r="AB79" s="141"/>
      <c r="AC79" s="132" t="s">
        <v>602</v>
      </c>
      <c r="AD79" s="132" t="s">
        <v>602</v>
      </c>
      <c r="AE79" s="132" t="s">
        <v>602</v>
      </c>
      <c r="AF79" s="132" t="s">
        <v>602</v>
      </c>
      <c r="AG79" s="132" t="s">
        <v>602</v>
      </c>
      <c r="AH79" s="132"/>
      <c r="AI79" s="111">
        <v>0</v>
      </c>
      <c r="AJ79" s="134">
        <f t="shared" si="8"/>
        <v>0</v>
      </c>
      <c r="AK79" s="134">
        <f t="shared" si="14"/>
        <v>0</v>
      </c>
      <c r="AL79" s="142"/>
      <c r="AM79" s="132">
        <v>0</v>
      </c>
      <c r="AN79" s="132">
        <v>0</v>
      </c>
      <c r="AO79" s="132">
        <v>0</v>
      </c>
      <c r="AP79" s="132">
        <v>0</v>
      </c>
      <c r="AQ79" s="132">
        <v>0</v>
      </c>
      <c r="AR79" s="132">
        <v>0</v>
      </c>
      <c r="AS79" s="116">
        <v>0</v>
      </c>
      <c r="AT79" s="134">
        <f t="shared" si="18"/>
        <v>0</v>
      </c>
      <c r="AU79" s="134">
        <f t="shared" si="15"/>
        <v>0</v>
      </c>
      <c r="AV79" s="142"/>
      <c r="AW79" s="132" t="s">
        <v>602</v>
      </c>
      <c r="AX79" s="132" t="s">
        <v>602</v>
      </c>
      <c r="AY79" s="132" t="s">
        <v>602</v>
      </c>
      <c r="AZ79" s="132" t="s">
        <v>602</v>
      </c>
      <c r="BA79" s="132" t="s">
        <v>602</v>
      </c>
      <c r="BB79" s="116"/>
      <c r="BC79" s="113"/>
      <c r="BD79" s="116"/>
      <c r="BE79" s="113"/>
      <c r="BF79" s="116"/>
      <c r="BG79" s="116"/>
      <c r="BH79" s="137">
        <f t="shared" si="16"/>
        <v>23000</v>
      </c>
      <c r="BI79" s="138">
        <f t="shared" si="17"/>
        <v>0</v>
      </c>
      <c r="BJ79" s="147" t="s">
        <v>844</v>
      </c>
      <c r="BK79" s="91"/>
    </row>
    <row r="80" spans="1:63" ht="15.75">
      <c r="A80" s="123">
        <v>501339</v>
      </c>
      <c r="B80" s="126">
        <v>205993</v>
      </c>
      <c r="C80" s="121" t="s">
        <v>855</v>
      </c>
      <c r="D80" s="121" t="s">
        <v>856</v>
      </c>
      <c r="E80" s="125" t="s">
        <v>853</v>
      </c>
      <c r="F80" s="123" t="s">
        <v>854</v>
      </c>
      <c r="G80" s="127" t="s">
        <v>46</v>
      </c>
      <c r="H80" s="123" t="s">
        <v>628</v>
      </c>
      <c r="I80" s="126" t="s">
        <v>609</v>
      </c>
      <c r="J80" s="126" t="s">
        <v>710</v>
      </c>
      <c r="K80" s="128" t="s">
        <v>711</v>
      </c>
      <c r="L80" s="121" t="s">
        <v>515</v>
      </c>
      <c r="M80" s="143" t="s">
        <v>857</v>
      </c>
      <c r="N80" s="129">
        <v>42614</v>
      </c>
      <c r="O80" s="129">
        <v>43951</v>
      </c>
      <c r="P80" s="129">
        <v>44117</v>
      </c>
      <c r="Q80" s="144">
        <v>293840</v>
      </c>
      <c r="R80" s="150"/>
      <c r="S80" s="132">
        <v>76000</v>
      </c>
      <c r="T80" s="132">
        <v>1160</v>
      </c>
      <c r="U80" s="132">
        <v>15000</v>
      </c>
      <c r="V80" s="132"/>
      <c r="W80" s="132">
        <v>6000</v>
      </c>
      <c r="X80" s="132">
        <v>0</v>
      </c>
      <c r="Y80" s="111">
        <v>98160</v>
      </c>
      <c r="Z80" s="133">
        <f t="shared" si="12"/>
        <v>98160</v>
      </c>
      <c r="AA80" s="133">
        <f t="shared" si="13"/>
        <v>0</v>
      </c>
      <c r="AB80" s="141"/>
      <c r="AC80" s="132">
        <v>76000</v>
      </c>
      <c r="AD80" s="132">
        <v>0</v>
      </c>
      <c r="AE80" s="132">
        <v>15000</v>
      </c>
      <c r="AF80" s="132">
        <v>6000</v>
      </c>
      <c r="AG80" s="132">
        <v>0</v>
      </c>
      <c r="AH80" s="132"/>
      <c r="AI80" s="111">
        <v>97000</v>
      </c>
      <c r="AJ80" s="134">
        <f t="shared" si="8"/>
        <v>97000</v>
      </c>
      <c r="AK80" s="134">
        <f t="shared" si="14"/>
        <v>0</v>
      </c>
      <c r="AL80" s="142"/>
      <c r="AM80" s="135">
        <v>76000</v>
      </c>
      <c r="AN80" s="135">
        <v>1680</v>
      </c>
      <c r="AO80" s="135">
        <v>15000</v>
      </c>
      <c r="AP80" s="135"/>
      <c r="AQ80" s="135">
        <v>6000</v>
      </c>
      <c r="AR80" s="135">
        <v>0</v>
      </c>
      <c r="AS80" s="116">
        <v>98680</v>
      </c>
      <c r="AT80" s="134">
        <f t="shared" si="18"/>
        <v>98680</v>
      </c>
      <c r="AU80" s="134">
        <f t="shared" si="15"/>
        <v>0</v>
      </c>
      <c r="AV80" s="142"/>
      <c r="AW80" s="135"/>
      <c r="AX80" s="135"/>
      <c r="AY80" s="135"/>
      <c r="AZ80" s="135"/>
      <c r="BA80" s="135"/>
      <c r="BB80" s="116"/>
      <c r="BC80" s="113"/>
      <c r="BD80" s="116"/>
      <c r="BE80" s="113"/>
      <c r="BF80" s="116"/>
      <c r="BG80" s="116"/>
      <c r="BH80" s="137">
        <f t="shared" si="16"/>
        <v>293840</v>
      </c>
      <c r="BI80" s="138">
        <f t="shared" si="17"/>
        <v>0</v>
      </c>
      <c r="BJ80" s="147"/>
      <c r="BK80" s="91"/>
    </row>
    <row r="81" spans="1:63" ht="15.75">
      <c r="A81" s="123">
        <v>506459</v>
      </c>
      <c r="B81" s="126">
        <v>205993</v>
      </c>
      <c r="C81" s="123" t="s">
        <v>855</v>
      </c>
      <c r="D81" s="121" t="s">
        <v>856</v>
      </c>
      <c r="E81" s="125" t="s">
        <v>853</v>
      </c>
      <c r="F81" s="124" t="s">
        <v>854</v>
      </c>
      <c r="G81" s="127" t="s">
        <v>46</v>
      </c>
      <c r="H81" s="126" t="s">
        <v>597</v>
      </c>
      <c r="I81" s="126" t="s">
        <v>609</v>
      </c>
      <c r="J81" s="126" t="s">
        <v>710</v>
      </c>
      <c r="K81" s="128" t="s">
        <v>711</v>
      </c>
      <c r="L81" s="121" t="s">
        <v>19</v>
      </c>
      <c r="M81" s="126" t="s">
        <v>858</v>
      </c>
      <c r="N81" s="129">
        <v>43556</v>
      </c>
      <c r="O81" s="129">
        <v>44377</v>
      </c>
      <c r="P81" s="129">
        <v>44377</v>
      </c>
      <c r="Q81" s="144">
        <f>36000*2</f>
        <v>72000</v>
      </c>
      <c r="R81" s="150"/>
      <c r="S81" s="132">
        <v>22000</v>
      </c>
      <c r="T81" s="132">
        <v>0</v>
      </c>
      <c r="U81" s="132">
        <v>8000</v>
      </c>
      <c r="V81" s="132">
        <v>0</v>
      </c>
      <c r="W81" s="132">
        <v>6000</v>
      </c>
      <c r="X81" s="132">
        <v>0</v>
      </c>
      <c r="Y81" s="111">
        <v>36000</v>
      </c>
      <c r="Z81" s="133">
        <f t="shared" si="12"/>
        <v>36000</v>
      </c>
      <c r="AA81" s="133">
        <f t="shared" si="13"/>
        <v>0</v>
      </c>
      <c r="AB81" s="141"/>
      <c r="AC81" s="132">
        <v>22000</v>
      </c>
      <c r="AD81" s="132">
        <v>0</v>
      </c>
      <c r="AE81" s="132">
        <v>8000</v>
      </c>
      <c r="AF81" s="132">
        <v>0</v>
      </c>
      <c r="AG81" s="132">
        <v>6000</v>
      </c>
      <c r="AH81" s="159">
        <v>0</v>
      </c>
      <c r="AI81" s="111">
        <v>36000</v>
      </c>
      <c r="AJ81" s="134">
        <f t="shared" ref="AJ81:AJ144" si="19">SUM(AB81:AH81)</f>
        <v>36000</v>
      </c>
      <c r="AK81" s="134">
        <f t="shared" si="14"/>
        <v>0</v>
      </c>
      <c r="AL81" s="145"/>
      <c r="AM81" s="132">
        <v>0</v>
      </c>
      <c r="AN81" s="132">
        <v>0</v>
      </c>
      <c r="AO81" s="132">
        <v>0</v>
      </c>
      <c r="AP81" s="132">
        <v>0</v>
      </c>
      <c r="AQ81" s="132">
        <v>0</v>
      </c>
      <c r="AR81" s="132">
        <v>0</v>
      </c>
      <c r="AS81" s="116"/>
      <c r="AT81" s="134">
        <f t="shared" si="18"/>
        <v>0</v>
      </c>
      <c r="AU81" s="134">
        <f t="shared" si="15"/>
        <v>0</v>
      </c>
      <c r="AV81" s="121"/>
      <c r="AW81" s="153"/>
      <c r="AX81" s="153"/>
      <c r="AY81" s="153"/>
      <c r="AZ81" s="153"/>
      <c r="BA81" s="153"/>
      <c r="BB81" s="154"/>
      <c r="BC81" s="99"/>
      <c r="BD81" s="154"/>
      <c r="BE81" s="99"/>
      <c r="BF81" s="154"/>
      <c r="BG81" s="154"/>
      <c r="BH81" s="137">
        <f t="shared" si="16"/>
        <v>72000</v>
      </c>
      <c r="BI81" s="138">
        <f t="shared" si="17"/>
        <v>0</v>
      </c>
      <c r="BJ81" s="155" t="s">
        <v>821</v>
      </c>
      <c r="BK81" s="91"/>
    </row>
    <row r="82" spans="1:63" ht="15.75">
      <c r="A82" s="123">
        <v>507637</v>
      </c>
      <c r="B82" s="126">
        <v>206014</v>
      </c>
      <c r="C82" s="124" t="s">
        <v>861</v>
      </c>
      <c r="D82" s="124" t="s">
        <v>862</v>
      </c>
      <c r="E82" s="125" t="s">
        <v>859</v>
      </c>
      <c r="F82" s="124" t="s">
        <v>860</v>
      </c>
      <c r="G82" s="127" t="s">
        <v>46</v>
      </c>
      <c r="H82" s="126" t="s">
        <v>628</v>
      </c>
      <c r="I82" s="126" t="s">
        <v>598</v>
      </c>
      <c r="J82" s="126" t="s">
        <v>650</v>
      </c>
      <c r="K82" s="128" t="s">
        <v>630</v>
      </c>
      <c r="L82" s="121" t="s">
        <v>519</v>
      </c>
      <c r="M82" s="123" t="s">
        <v>736</v>
      </c>
      <c r="N82" s="129">
        <v>43709</v>
      </c>
      <c r="O82" s="129">
        <v>44530</v>
      </c>
      <c r="P82" s="129">
        <v>44530</v>
      </c>
      <c r="Q82" s="130">
        <f>40800+40800</f>
        <v>81600</v>
      </c>
      <c r="R82" s="113"/>
      <c r="S82" s="132">
        <v>20000</v>
      </c>
      <c r="T82" s="132"/>
      <c r="U82" s="132">
        <v>20800</v>
      </c>
      <c r="V82" s="132"/>
      <c r="W82" s="132"/>
      <c r="X82" s="132"/>
      <c r="Y82" s="111">
        <v>40800</v>
      </c>
      <c r="Z82" s="133">
        <f t="shared" si="12"/>
        <v>40800</v>
      </c>
      <c r="AA82" s="133">
        <f t="shared" si="13"/>
        <v>0</v>
      </c>
      <c r="AB82" s="141"/>
      <c r="AC82" s="132">
        <v>20000</v>
      </c>
      <c r="AD82" s="132"/>
      <c r="AE82" s="132">
        <v>20800</v>
      </c>
      <c r="AF82" s="132"/>
      <c r="AG82" s="132"/>
      <c r="AH82" s="132"/>
      <c r="AI82" s="111">
        <v>40800</v>
      </c>
      <c r="AJ82" s="134">
        <f t="shared" si="19"/>
        <v>40800</v>
      </c>
      <c r="AK82" s="134">
        <f t="shared" si="14"/>
        <v>0</v>
      </c>
      <c r="AL82" s="142"/>
      <c r="AM82" s="132">
        <v>20000</v>
      </c>
      <c r="AN82" s="132"/>
      <c r="AO82" s="132">
        <v>20800</v>
      </c>
      <c r="AP82" s="135"/>
      <c r="AQ82" s="135"/>
      <c r="AR82" s="135"/>
      <c r="AS82" s="116">
        <f>SUM(AM82:AR82)</f>
        <v>40800</v>
      </c>
      <c r="AT82" s="134">
        <f t="shared" si="18"/>
        <v>40800</v>
      </c>
      <c r="AU82" s="134">
        <f t="shared" si="15"/>
        <v>0</v>
      </c>
      <c r="AV82" s="142"/>
      <c r="AW82" s="135"/>
      <c r="AX82" s="135"/>
      <c r="AY82" s="135"/>
      <c r="AZ82" s="135"/>
      <c r="BA82" s="135"/>
      <c r="BB82" s="116"/>
      <c r="BC82" s="113"/>
      <c r="BD82" s="116"/>
      <c r="BE82" s="113"/>
      <c r="BF82" s="116"/>
      <c r="BG82" s="116"/>
      <c r="BH82" s="137">
        <f t="shared" si="16"/>
        <v>122400</v>
      </c>
      <c r="BI82" s="138">
        <f t="shared" si="17"/>
        <v>40800</v>
      </c>
      <c r="BJ82" s="126"/>
      <c r="BK82" s="91"/>
    </row>
    <row r="83" spans="1:63" ht="15.75">
      <c r="A83" s="123">
        <v>501347</v>
      </c>
      <c r="B83" s="126">
        <v>206121</v>
      </c>
      <c r="C83" s="121" t="s">
        <v>864</v>
      </c>
      <c r="D83" s="121" t="s">
        <v>865</v>
      </c>
      <c r="E83" s="125" t="s">
        <v>863</v>
      </c>
      <c r="F83" s="124" t="s">
        <v>310</v>
      </c>
      <c r="G83" s="127" t="s">
        <v>46</v>
      </c>
      <c r="H83" s="126" t="s">
        <v>628</v>
      </c>
      <c r="I83" s="126" t="s">
        <v>609</v>
      </c>
      <c r="J83" s="126" t="s">
        <v>818</v>
      </c>
      <c r="K83" s="128" t="s">
        <v>866</v>
      </c>
      <c r="L83" s="124" t="s">
        <v>515</v>
      </c>
      <c r="M83" s="126" t="s">
        <v>867</v>
      </c>
      <c r="N83" s="129">
        <v>42614</v>
      </c>
      <c r="O83" s="129">
        <v>43708</v>
      </c>
      <c r="P83" s="129">
        <v>43708</v>
      </c>
      <c r="Q83" s="144">
        <v>280483</v>
      </c>
      <c r="R83" s="150"/>
      <c r="S83" s="132">
        <v>81561</v>
      </c>
      <c r="T83" s="132">
        <v>0</v>
      </c>
      <c r="U83" s="132">
        <v>10900</v>
      </c>
      <c r="V83" s="132"/>
      <c r="W83" s="132">
        <v>5000</v>
      </c>
      <c r="X83" s="132">
        <v>0</v>
      </c>
      <c r="Y83" s="111">
        <v>97461</v>
      </c>
      <c r="Z83" s="133">
        <f t="shared" si="12"/>
        <v>97461</v>
      </c>
      <c r="AA83" s="133">
        <f t="shared" si="13"/>
        <v>0</v>
      </c>
      <c r="AB83" s="141"/>
      <c r="AC83" s="132">
        <v>72561</v>
      </c>
      <c r="AD83" s="132">
        <v>0</v>
      </c>
      <c r="AE83" s="132">
        <v>13950</v>
      </c>
      <c r="AF83" s="132">
        <v>5000</v>
      </c>
      <c r="AG83" s="132">
        <v>0</v>
      </c>
      <c r="AH83" s="132"/>
      <c r="AI83" s="111">
        <v>91511</v>
      </c>
      <c r="AJ83" s="134">
        <f t="shared" si="19"/>
        <v>91511</v>
      </c>
      <c r="AK83" s="134">
        <f t="shared" si="14"/>
        <v>0</v>
      </c>
      <c r="AL83" s="142"/>
      <c r="AM83" s="135">
        <v>72561</v>
      </c>
      <c r="AN83" s="135">
        <v>0</v>
      </c>
      <c r="AO83" s="135">
        <v>13950</v>
      </c>
      <c r="AP83" s="135"/>
      <c r="AQ83" s="135">
        <v>5000</v>
      </c>
      <c r="AR83" s="135">
        <v>0</v>
      </c>
      <c r="AS83" s="116">
        <v>91511</v>
      </c>
      <c r="AT83" s="134">
        <f t="shared" si="18"/>
        <v>91511</v>
      </c>
      <c r="AU83" s="134">
        <f t="shared" si="15"/>
        <v>0</v>
      </c>
      <c r="AV83" s="142"/>
      <c r="AW83" s="135"/>
      <c r="AX83" s="135"/>
      <c r="AY83" s="135"/>
      <c r="AZ83" s="135"/>
      <c r="BA83" s="135"/>
      <c r="BB83" s="116">
        <f>SUM(AV83:BA83)</f>
        <v>0</v>
      </c>
      <c r="BC83" s="113"/>
      <c r="BD83" s="116"/>
      <c r="BE83" s="113"/>
      <c r="BF83" s="116"/>
      <c r="BG83" s="116"/>
      <c r="BH83" s="137">
        <f t="shared" si="16"/>
        <v>280483</v>
      </c>
      <c r="BI83" s="138">
        <f t="shared" si="17"/>
        <v>0</v>
      </c>
      <c r="BJ83" s="147"/>
      <c r="BK83" s="91"/>
    </row>
    <row r="84" spans="1:63" ht="15.75">
      <c r="A84" s="139">
        <v>507777</v>
      </c>
      <c r="B84" s="126">
        <v>206121</v>
      </c>
      <c r="C84" s="124" t="s">
        <v>864</v>
      </c>
      <c r="D84" s="124" t="s">
        <v>865</v>
      </c>
      <c r="E84" s="140" t="s">
        <v>863</v>
      </c>
      <c r="F84" s="124" t="s">
        <v>310</v>
      </c>
      <c r="G84" s="127" t="s">
        <v>46</v>
      </c>
      <c r="H84" s="126" t="s">
        <v>628</v>
      </c>
      <c r="I84" s="126" t="s">
        <v>609</v>
      </c>
      <c r="J84" s="126" t="s">
        <v>818</v>
      </c>
      <c r="K84" s="128" t="s">
        <v>866</v>
      </c>
      <c r="L84" s="121" t="s">
        <v>519</v>
      </c>
      <c r="M84" s="123" t="s">
        <v>769</v>
      </c>
      <c r="N84" s="129">
        <v>43709</v>
      </c>
      <c r="O84" s="129">
        <v>44530</v>
      </c>
      <c r="P84" s="129">
        <v>44530</v>
      </c>
      <c r="Q84" s="130">
        <f>80580+34260+103320</f>
        <v>218160</v>
      </c>
      <c r="R84" s="113"/>
      <c r="S84" s="132">
        <v>96049.919999999998</v>
      </c>
      <c r="T84" s="132">
        <v>11520</v>
      </c>
      <c r="U84" s="132">
        <v>6480</v>
      </c>
      <c r="V84" s="132">
        <v>0</v>
      </c>
      <c r="W84" s="132">
        <v>790.08</v>
      </c>
      <c r="X84" s="132">
        <v>0</v>
      </c>
      <c r="Y84" s="111">
        <v>114840</v>
      </c>
      <c r="Z84" s="133">
        <f t="shared" si="12"/>
        <v>114840</v>
      </c>
      <c r="AA84" s="133">
        <f t="shared" si="13"/>
        <v>0</v>
      </c>
      <c r="AB84" s="141"/>
      <c r="AC84" s="132">
        <v>88920</v>
      </c>
      <c r="AD84" s="132">
        <v>0</v>
      </c>
      <c r="AE84" s="132">
        <v>6480</v>
      </c>
      <c r="AF84" s="132">
        <v>2880</v>
      </c>
      <c r="AG84" s="132">
        <v>5040</v>
      </c>
      <c r="AH84" s="132">
        <v>0</v>
      </c>
      <c r="AI84" s="111">
        <v>103320</v>
      </c>
      <c r="AJ84" s="134">
        <f t="shared" si="19"/>
        <v>103320</v>
      </c>
      <c r="AK84" s="134">
        <f t="shared" si="14"/>
        <v>0</v>
      </c>
      <c r="AL84" s="142"/>
      <c r="AM84" s="132">
        <v>88920</v>
      </c>
      <c r="AN84" s="132">
        <v>0</v>
      </c>
      <c r="AO84" s="132">
        <v>6480</v>
      </c>
      <c r="AP84" s="132">
        <v>2880</v>
      </c>
      <c r="AQ84" s="132">
        <v>5040</v>
      </c>
      <c r="AR84" s="132">
        <v>0</v>
      </c>
      <c r="AS84" s="116">
        <f>SUM(AM84:AR84)</f>
        <v>103320</v>
      </c>
      <c r="AT84" s="134">
        <f t="shared" si="18"/>
        <v>103320</v>
      </c>
      <c r="AU84" s="134">
        <f t="shared" si="15"/>
        <v>0</v>
      </c>
      <c r="AV84" s="142"/>
      <c r="AW84" s="135"/>
      <c r="AX84" s="135"/>
      <c r="AY84" s="135"/>
      <c r="AZ84" s="135"/>
      <c r="BA84" s="135"/>
      <c r="BB84" s="116"/>
      <c r="BC84" s="113"/>
      <c r="BD84" s="116"/>
      <c r="BE84" s="113"/>
      <c r="BF84" s="116"/>
      <c r="BG84" s="116"/>
      <c r="BH84" s="137">
        <f t="shared" si="16"/>
        <v>321480</v>
      </c>
      <c r="BI84" s="138">
        <f t="shared" si="17"/>
        <v>103320</v>
      </c>
      <c r="BJ84" s="126"/>
      <c r="BK84" s="91"/>
    </row>
    <row r="85" spans="1:63" ht="15.75">
      <c r="A85" s="123">
        <v>499994</v>
      </c>
      <c r="B85" s="126">
        <v>206130</v>
      </c>
      <c r="C85" s="148" t="s">
        <v>869</v>
      </c>
      <c r="D85" s="148" t="s">
        <v>870</v>
      </c>
      <c r="E85" s="125" t="s">
        <v>868</v>
      </c>
      <c r="F85" s="124" t="s">
        <v>292</v>
      </c>
      <c r="G85" s="127" t="s">
        <v>46</v>
      </c>
      <c r="H85" s="149" t="s">
        <v>597</v>
      </c>
      <c r="I85" s="126" t="s">
        <v>609</v>
      </c>
      <c r="J85" s="126" t="s">
        <v>818</v>
      </c>
      <c r="K85" s="128" t="s">
        <v>866</v>
      </c>
      <c r="L85" s="121" t="s">
        <v>637</v>
      </c>
      <c r="M85" s="123" t="s">
        <v>638</v>
      </c>
      <c r="N85" s="129">
        <v>42248</v>
      </c>
      <c r="O85" s="129">
        <v>42643</v>
      </c>
      <c r="P85" s="129">
        <v>42668</v>
      </c>
      <c r="Q85" s="144">
        <v>15000</v>
      </c>
      <c r="R85" s="132">
        <v>15000</v>
      </c>
      <c r="S85" s="132"/>
      <c r="T85" s="132">
        <v>0</v>
      </c>
      <c r="U85" s="132">
        <v>0</v>
      </c>
      <c r="V85" s="132"/>
      <c r="W85" s="132">
        <v>0</v>
      </c>
      <c r="X85" s="132">
        <v>0</v>
      </c>
      <c r="Y85" s="111">
        <v>15000</v>
      </c>
      <c r="Z85" s="133">
        <f t="shared" si="12"/>
        <v>15000</v>
      </c>
      <c r="AA85" s="133">
        <f t="shared" si="13"/>
        <v>0</v>
      </c>
      <c r="AB85" s="141"/>
      <c r="AC85" s="132" t="s">
        <v>602</v>
      </c>
      <c r="AD85" s="132" t="s">
        <v>602</v>
      </c>
      <c r="AE85" s="132" t="s">
        <v>602</v>
      </c>
      <c r="AF85" s="132" t="s">
        <v>602</v>
      </c>
      <c r="AG85" s="132" t="s">
        <v>602</v>
      </c>
      <c r="AH85" s="132"/>
      <c r="AI85" s="111">
        <v>0</v>
      </c>
      <c r="AJ85" s="134">
        <f t="shared" si="19"/>
        <v>0</v>
      </c>
      <c r="AK85" s="134">
        <f t="shared" si="14"/>
        <v>0</v>
      </c>
      <c r="AL85" s="142"/>
      <c r="AM85" s="132">
        <v>0</v>
      </c>
      <c r="AN85" s="132">
        <v>0</v>
      </c>
      <c r="AO85" s="132">
        <v>0</v>
      </c>
      <c r="AP85" s="132">
        <v>0</v>
      </c>
      <c r="AQ85" s="132">
        <v>0</v>
      </c>
      <c r="AR85" s="132">
        <v>0</v>
      </c>
      <c r="AS85" s="116">
        <v>0</v>
      </c>
      <c r="AT85" s="134">
        <f t="shared" si="18"/>
        <v>0</v>
      </c>
      <c r="AU85" s="134">
        <f t="shared" si="15"/>
        <v>0</v>
      </c>
      <c r="AV85" s="142"/>
      <c r="AW85" s="132" t="s">
        <v>602</v>
      </c>
      <c r="AX85" s="132" t="s">
        <v>602</v>
      </c>
      <c r="AY85" s="132" t="s">
        <v>602</v>
      </c>
      <c r="AZ85" s="132" t="s">
        <v>602</v>
      </c>
      <c r="BA85" s="132" t="s">
        <v>602</v>
      </c>
      <c r="BB85" s="116"/>
      <c r="BC85" s="113"/>
      <c r="BD85" s="116"/>
      <c r="BE85" s="113"/>
      <c r="BF85" s="116"/>
      <c r="BG85" s="116"/>
      <c r="BH85" s="137">
        <f t="shared" si="16"/>
        <v>15000</v>
      </c>
      <c r="BI85" s="138">
        <f t="shared" si="17"/>
        <v>0</v>
      </c>
      <c r="BJ85" s="147"/>
      <c r="BK85" s="91"/>
    </row>
    <row r="86" spans="1:63" ht="15.75">
      <c r="A86" s="123">
        <v>501336</v>
      </c>
      <c r="B86" s="126">
        <v>206130</v>
      </c>
      <c r="C86" s="148" t="s">
        <v>869</v>
      </c>
      <c r="D86" s="148" t="s">
        <v>870</v>
      </c>
      <c r="E86" s="125" t="s">
        <v>868</v>
      </c>
      <c r="F86" s="124" t="s">
        <v>292</v>
      </c>
      <c r="G86" s="127" t="s">
        <v>46</v>
      </c>
      <c r="H86" s="149" t="s">
        <v>628</v>
      </c>
      <c r="I86" s="126" t="s">
        <v>609</v>
      </c>
      <c r="J86" s="126" t="s">
        <v>818</v>
      </c>
      <c r="K86" s="128" t="s">
        <v>866</v>
      </c>
      <c r="L86" s="121" t="s">
        <v>515</v>
      </c>
      <c r="M86" s="123" t="s">
        <v>712</v>
      </c>
      <c r="N86" s="129">
        <v>42614</v>
      </c>
      <c r="O86" s="129">
        <v>43708</v>
      </c>
      <c r="P86" s="129">
        <v>44145</v>
      </c>
      <c r="Q86" s="144">
        <v>570450</v>
      </c>
      <c r="R86" s="150"/>
      <c r="S86" s="132">
        <v>108250</v>
      </c>
      <c r="T86" s="132">
        <v>16500</v>
      </c>
      <c r="U86" s="132">
        <v>59900</v>
      </c>
      <c r="V86" s="132"/>
      <c r="W86" s="132">
        <v>5500</v>
      </c>
      <c r="X86" s="132">
        <v>0</v>
      </c>
      <c r="Y86" s="111">
        <v>190150</v>
      </c>
      <c r="Z86" s="133">
        <f t="shared" si="12"/>
        <v>190150</v>
      </c>
      <c r="AA86" s="133">
        <f t="shared" si="13"/>
        <v>0</v>
      </c>
      <c r="AB86" s="141"/>
      <c r="AC86" s="132">
        <v>108250</v>
      </c>
      <c r="AD86" s="132">
        <v>16500</v>
      </c>
      <c r="AE86" s="132">
        <v>59900</v>
      </c>
      <c r="AF86" s="132">
        <v>5500</v>
      </c>
      <c r="AG86" s="132">
        <v>0</v>
      </c>
      <c r="AH86" s="132"/>
      <c r="AI86" s="111">
        <v>190150</v>
      </c>
      <c r="AJ86" s="134">
        <f t="shared" si="19"/>
        <v>190150</v>
      </c>
      <c r="AK86" s="134">
        <f t="shared" si="14"/>
        <v>0</v>
      </c>
      <c r="AL86" s="142"/>
      <c r="AM86" s="135">
        <v>108250</v>
      </c>
      <c r="AN86" s="135">
        <v>16500</v>
      </c>
      <c r="AO86" s="135">
        <v>59900</v>
      </c>
      <c r="AP86" s="135"/>
      <c r="AQ86" s="135">
        <v>5500</v>
      </c>
      <c r="AR86" s="135">
        <v>0</v>
      </c>
      <c r="AS86" s="116">
        <v>190150</v>
      </c>
      <c r="AT86" s="134">
        <f t="shared" si="18"/>
        <v>190150</v>
      </c>
      <c r="AU86" s="134">
        <f t="shared" si="15"/>
        <v>0</v>
      </c>
      <c r="AV86" s="142"/>
      <c r="AW86" s="135"/>
      <c r="AX86" s="135"/>
      <c r="AY86" s="135"/>
      <c r="AZ86" s="135"/>
      <c r="BA86" s="135"/>
      <c r="BB86" s="116"/>
      <c r="BC86" s="113"/>
      <c r="BD86" s="116"/>
      <c r="BE86" s="113"/>
      <c r="BF86" s="116"/>
      <c r="BG86" s="116"/>
      <c r="BH86" s="137">
        <f t="shared" si="16"/>
        <v>570450</v>
      </c>
      <c r="BI86" s="138">
        <f t="shared" si="17"/>
        <v>0</v>
      </c>
      <c r="BJ86" s="147"/>
      <c r="BK86" s="91"/>
    </row>
    <row r="87" spans="1:63" ht="15.75">
      <c r="A87" s="123">
        <v>507693</v>
      </c>
      <c r="B87" s="126">
        <v>206130</v>
      </c>
      <c r="C87" s="123" t="s">
        <v>869</v>
      </c>
      <c r="D87" s="121" t="s">
        <v>870</v>
      </c>
      <c r="E87" s="125" t="s">
        <v>868</v>
      </c>
      <c r="F87" s="124" t="s">
        <v>292</v>
      </c>
      <c r="G87" s="127" t="s">
        <v>46</v>
      </c>
      <c r="H87" s="126" t="s">
        <v>628</v>
      </c>
      <c r="I87" s="126" t="s">
        <v>609</v>
      </c>
      <c r="J87" s="126" t="s">
        <v>818</v>
      </c>
      <c r="K87" s="128" t="s">
        <v>866</v>
      </c>
      <c r="L87" s="121" t="s">
        <v>519</v>
      </c>
      <c r="M87" s="126" t="s">
        <v>717</v>
      </c>
      <c r="N87" s="129">
        <v>43709</v>
      </c>
      <c r="O87" s="129">
        <v>44530</v>
      </c>
      <c r="P87" s="129">
        <v>44530</v>
      </c>
      <c r="Q87" s="130">
        <f>100350+100350</f>
        <v>200700</v>
      </c>
      <c r="R87" s="113"/>
      <c r="S87" s="132">
        <v>77000</v>
      </c>
      <c r="T87" s="132"/>
      <c r="U87" s="132">
        <v>13350</v>
      </c>
      <c r="V87" s="132"/>
      <c r="W87" s="132">
        <v>10000</v>
      </c>
      <c r="X87" s="132"/>
      <c r="Y87" s="111">
        <v>100350</v>
      </c>
      <c r="Z87" s="133">
        <f t="shared" si="12"/>
        <v>100350</v>
      </c>
      <c r="AA87" s="133">
        <f t="shared" si="13"/>
        <v>0</v>
      </c>
      <c r="AB87" s="141"/>
      <c r="AC87" s="132">
        <v>77000</v>
      </c>
      <c r="AD87" s="132"/>
      <c r="AE87" s="132">
        <v>13350</v>
      </c>
      <c r="AF87" s="132"/>
      <c r="AG87" s="132">
        <v>10000</v>
      </c>
      <c r="AH87" s="132"/>
      <c r="AI87" s="111">
        <v>100350</v>
      </c>
      <c r="AJ87" s="134">
        <f t="shared" si="19"/>
        <v>100350</v>
      </c>
      <c r="AK87" s="134">
        <f t="shared" si="14"/>
        <v>0</v>
      </c>
      <c r="AL87" s="121"/>
      <c r="AM87" s="132">
        <v>77000</v>
      </c>
      <c r="AN87" s="132"/>
      <c r="AO87" s="132">
        <v>13350</v>
      </c>
      <c r="AP87" s="132"/>
      <c r="AQ87" s="132">
        <v>10000</v>
      </c>
      <c r="AR87" s="132"/>
      <c r="AS87" s="116">
        <f>SUM(AM87:AR87)</f>
        <v>100350</v>
      </c>
      <c r="AT87" s="134">
        <f t="shared" si="18"/>
        <v>100350</v>
      </c>
      <c r="AU87" s="134">
        <f t="shared" si="15"/>
        <v>0</v>
      </c>
      <c r="AV87" s="121"/>
      <c r="AW87" s="153"/>
      <c r="AX87" s="153"/>
      <c r="AY87" s="153"/>
      <c r="AZ87" s="153"/>
      <c r="BA87" s="153"/>
      <c r="BB87" s="154"/>
      <c r="BC87" s="99"/>
      <c r="BD87" s="154"/>
      <c r="BE87" s="99"/>
      <c r="BF87" s="154"/>
      <c r="BG87" s="154"/>
      <c r="BH87" s="137">
        <f t="shared" si="16"/>
        <v>301050</v>
      </c>
      <c r="BI87" s="138">
        <f t="shared" si="17"/>
        <v>100350</v>
      </c>
      <c r="BJ87" s="155"/>
      <c r="BK87" s="91"/>
    </row>
    <row r="88" spans="1:63" ht="15.75">
      <c r="A88" s="123">
        <v>501340</v>
      </c>
      <c r="B88" s="126">
        <v>206147</v>
      </c>
      <c r="C88" s="121" t="s">
        <v>872</v>
      </c>
      <c r="D88" s="121" t="s">
        <v>873</v>
      </c>
      <c r="E88" s="125" t="s">
        <v>871</v>
      </c>
      <c r="F88" s="124" t="s">
        <v>196</v>
      </c>
      <c r="G88" s="127" t="s">
        <v>46</v>
      </c>
      <c r="H88" s="126" t="s">
        <v>628</v>
      </c>
      <c r="I88" s="126" t="s">
        <v>723</v>
      </c>
      <c r="J88" s="126" t="s">
        <v>874</v>
      </c>
      <c r="K88" s="128" t="s">
        <v>875</v>
      </c>
      <c r="L88" s="124" t="s">
        <v>515</v>
      </c>
      <c r="M88" s="126" t="s">
        <v>698</v>
      </c>
      <c r="N88" s="129">
        <v>42614</v>
      </c>
      <c r="O88" s="129">
        <v>43708</v>
      </c>
      <c r="P88" s="129">
        <v>43708</v>
      </c>
      <c r="Q88" s="144">
        <v>300000</v>
      </c>
      <c r="R88" s="150"/>
      <c r="S88" s="132">
        <v>48000</v>
      </c>
      <c r="T88" s="132">
        <v>0</v>
      </c>
      <c r="U88" s="132">
        <v>52000</v>
      </c>
      <c r="V88" s="132"/>
      <c r="W88" s="132">
        <v>0</v>
      </c>
      <c r="X88" s="132">
        <v>0</v>
      </c>
      <c r="Y88" s="111">
        <v>100000</v>
      </c>
      <c r="Z88" s="133">
        <f t="shared" si="12"/>
        <v>100000</v>
      </c>
      <c r="AA88" s="133">
        <f t="shared" si="13"/>
        <v>0</v>
      </c>
      <c r="AB88" s="141"/>
      <c r="AC88" s="132">
        <v>48000</v>
      </c>
      <c r="AD88" s="132">
        <v>0</v>
      </c>
      <c r="AE88" s="132">
        <v>52000</v>
      </c>
      <c r="AF88" s="132">
        <v>0</v>
      </c>
      <c r="AG88" s="132">
        <v>0</v>
      </c>
      <c r="AH88" s="132"/>
      <c r="AI88" s="111">
        <v>100000</v>
      </c>
      <c r="AJ88" s="134">
        <f t="shared" si="19"/>
        <v>100000</v>
      </c>
      <c r="AK88" s="134">
        <f t="shared" si="14"/>
        <v>0</v>
      </c>
      <c r="AL88" s="142"/>
      <c r="AM88" s="135">
        <v>48000</v>
      </c>
      <c r="AN88" s="135">
        <v>0</v>
      </c>
      <c r="AO88" s="135">
        <v>52000</v>
      </c>
      <c r="AP88" s="135"/>
      <c r="AQ88" s="135">
        <v>0</v>
      </c>
      <c r="AR88" s="135">
        <v>0</v>
      </c>
      <c r="AS88" s="116">
        <v>100000</v>
      </c>
      <c r="AT88" s="134">
        <f t="shared" si="18"/>
        <v>100000</v>
      </c>
      <c r="AU88" s="134">
        <f t="shared" si="15"/>
        <v>0</v>
      </c>
      <c r="AV88" s="142"/>
      <c r="AW88" s="135"/>
      <c r="AX88" s="135"/>
      <c r="AY88" s="135"/>
      <c r="AZ88" s="135"/>
      <c r="BA88" s="135"/>
      <c r="BB88" s="116"/>
      <c r="BC88" s="113"/>
      <c r="BD88" s="116"/>
      <c r="BE88" s="113"/>
      <c r="BF88" s="116"/>
      <c r="BG88" s="116"/>
      <c r="BH88" s="137">
        <f t="shared" si="16"/>
        <v>300000</v>
      </c>
      <c r="BI88" s="138">
        <f t="shared" si="17"/>
        <v>0</v>
      </c>
      <c r="BJ88" s="147"/>
      <c r="BK88" s="91"/>
    </row>
    <row r="89" spans="1:63" ht="15.75">
      <c r="A89" s="123">
        <v>503284</v>
      </c>
      <c r="B89" s="126">
        <v>206147</v>
      </c>
      <c r="C89" s="124" t="s">
        <v>872</v>
      </c>
      <c r="D89" s="124" t="s">
        <v>873</v>
      </c>
      <c r="E89" s="125" t="s">
        <v>871</v>
      </c>
      <c r="F89" s="124" t="s">
        <v>196</v>
      </c>
      <c r="G89" s="127" t="s">
        <v>46</v>
      </c>
      <c r="H89" s="126" t="s">
        <v>597</v>
      </c>
      <c r="I89" s="126" t="s">
        <v>723</v>
      </c>
      <c r="J89" s="126" t="s">
        <v>874</v>
      </c>
      <c r="K89" s="128" t="s">
        <v>875</v>
      </c>
      <c r="L89" s="121" t="s">
        <v>19</v>
      </c>
      <c r="M89" s="123" t="s">
        <v>876</v>
      </c>
      <c r="N89" s="129">
        <v>42917</v>
      </c>
      <c r="O89" s="129">
        <v>43373</v>
      </c>
      <c r="P89" s="129">
        <v>43555</v>
      </c>
      <c r="Q89" s="130">
        <v>25000</v>
      </c>
      <c r="R89" s="113"/>
      <c r="S89" s="132">
        <v>7291.69</v>
      </c>
      <c r="T89" s="132">
        <v>0</v>
      </c>
      <c r="U89" s="132">
        <v>17708.310000000001</v>
      </c>
      <c r="V89" s="132">
        <v>0</v>
      </c>
      <c r="W89" s="132">
        <v>0</v>
      </c>
      <c r="X89" s="132">
        <v>0</v>
      </c>
      <c r="Y89" s="111">
        <v>25000</v>
      </c>
      <c r="Z89" s="133">
        <f t="shared" si="12"/>
        <v>25000</v>
      </c>
      <c r="AA89" s="133">
        <f t="shared" si="13"/>
        <v>0</v>
      </c>
      <c r="AB89" s="141"/>
      <c r="AC89" s="132" t="s">
        <v>602</v>
      </c>
      <c r="AD89" s="132" t="s">
        <v>602</v>
      </c>
      <c r="AE89" s="132" t="s">
        <v>602</v>
      </c>
      <c r="AF89" s="132" t="s">
        <v>602</v>
      </c>
      <c r="AG89" s="132" t="s">
        <v>602</v>
      </c>
      <c r="AH89" s="132"/>
      <c r="AI89" s="111">
        <v>0</v>
      </c>
      <c r="AJ89" s="134">
        <f t="shared" si="19"/>
        <v>0</v>
      </c>
      <c r="AK89" s="134">
        <f t="shared" si="14"/>
        <v>0</v>
      </c>
      <c r="AL89" s="145"/>
      <c r="AM89" s="132">
        <v>0</v>
      </c>
      <c r="AN89" s="132">
        <v>0</v>
      </c>
      <c r="AO89" s="132">
        <v>0</v>
      </c>
      <c r="AP89" s="132">
        <v>0</v>
      </c>
      <c r="AQ89" s="132">
        <v>0</v>
      </c>
      <c r="AR89" s="132">
        <v>0</v>
      </c>
      <c r="AS89" s="116">
        <v>0</v>
      </c>
      <c r="AT89" s="134">
        <f t="shared" si="18"/>
        <v>0</v>
      </c>
      <c r="AU89" s="134">
        <f t="shared" si="15"/>
        <v>0</v>
      </c>
      <c r="AV89" s="142"/>
      <c r="AW89" s="135"/>
      <c r="AX89" s="135"/>
      <c r="AY89" s="135"/>
      <c r="AZ89" s="135"/>
      <c r="BA89" s="135"/>
      <c r="BB89" s="116"/>
      <c r="BC89" s="113"/>
      <c r="BD89" s="116"/>
      <c r="BE89" s="113"/>
      <c r="BF89" s="116"/>
      <c r="BG89" s="116"/>
      <c r="BH89" s="137">
        <f t="shared" si="16"/>
        <v>25000</v>
      </c>
      <c r="BI89" s="138">
        <f t="shared" si="17"/>
        <v>0</v>
      </c>
      <c r="BJ89" s="126" t="s">
        <v>877</v>
      </c>
      <c r="BK89" s="91"/>
    </row>
    <row r="90" spans="1:63" ht="15.75">
      <c r="A90" s="123">
        <v>507639</v>
      </c>
      <c r="B90" s="126">
        <v>206147</v>
      </c>
      <c r="C90" s="124" t="s">
        <v>872</v>
      </c>
      <c r="D90" s="124" t="s">
        <v>873</v>
      </c>
      <c r="E90" s="125" t="s">
        <v>871</v>
      </c>
      <c r="F90" s="124" t="s">
        <v>196</v>
      </c>
      <c r="G90" s="127" t="s">
        <v>46</v>
      </c>
      <c r="H90" s="126" t="s">
        <v>628</v>
      </c>
      <c r="I90" s="126" t="s">
        <v>723</v>
      </c>
      <c r="J90" s="126" t="s">
        <v>874</v>
      </c>
      <c r="K90" s="128" t="s">
        <v>875</v>
      </c>
      <c r="L90" s="121" t="s">
        <v>519</v>
      </c>
      <c r="M90" s="123" t="s">
        <v>847</v>
      </c>
      <c r="N90" s="129">
        <v>43709</v>
      </c>
      <c r="O90" s="129">
        <v>44530</v>
      </c>
      <c r="P90" s="129">
        <v>44530</v>
      </c>
      <c r="Q90" s="130">
        <f>240000+240000</f>
        <v>480000</v>
      </c>
      <c r="R90" s="113"/>
      <c r="S90" s="132">
        <v>122000</v>
      </c>
      <c r="T90" s="132"/>
      <c r="U90" s="132">
        <v>103000</v>
      </c>
      <c r="V90" s="132"/>
      <c r="W90" s="132">
        <v>15000</v>
      </c>
      <c r="X90" s="132"/>
      <c r="Y90" s="111">
        <v>240000</v>
      </c>
      <c r="Z90" s="133">
        <f t="shared" si="12"/>
        <v>240000</v>
      </c>
      <c r="AA90" s="133">
        <f t="shared" si="13"/>
        <v>0</v>
      </c>
      <c r="AB90" s="141"/>
      <c r="AC90" s="132">
        <v>102000</v>
      </c>
      <c r="AD90" s="132"/>
      <c r="AE90" s="132">
        <v>128000</v>
      </c>
      <c r="AF90" s="132"/>
      <c r="AG90" s="132">
        <v>10000</v>
      </c>
      <c r="AH90" s="132"/>
      <c r="AI90" s="111">
        <v>240000</v>
      </c>
      <c r="AJ90" s="134">
        <f t="shared" si="19"/>
        <v>240000</v>
      </c>
      <c r="AK90" s="134">
        <f t="shared" si="14"/>
        <v>0</v>
      </c>
      <c r="AL90" s="142"/>
      <c r="AM90" s="132">
        <v>122000</v>
      </c>
      <c r="AN90" s="132"/>
      <c r="AO90" s="132">
        <v>103000</v>
      </c>
      <c r="AP90" s="132"/>
      <c r="AQ90" s="132">
        <v>15000</v>
      </c>
      <c r="AR90" s="132"/>
      <c r="AS90" s="116">
        <f>SUM(AM90:AR90)</f>
        <v>240000</v>
      </c>
      <c r="AT90" s="134">
        <f t="shared" si="18"/>
        <v>240000</v>
      </c>
      <c r="AU90" s="134">
        <f t="shared" si="15"/>
        <v>0</v>
      </c>
      <c r="AV90" s="142"/>
      <c r="AW90" s="135"/>
      <c r="AX90" s="135"/>
      <c r="AY90" s="135"/>
      <c r="AZ90" s="135"/>
      <c r="BA90" s="135"/>
      <c r="BB90" s="116"/>
      <c r="BC90" s="113"/>
      <c r="BD90" s="116"/>
      <c r="BE90" s="113"/>
      <c r="BF90" s="116"/>
      <c r="BG90" s="116"/>
      <c r="BH90" s="137">
        <f t="shared" si="16"/>
        <v>720000</v>
      </c>
      <c r="BI90" s="138">
        <f t="shared" si="17"/>
        <v>240000</v>
      </c>
      <c r="BJ90" s="126"/>
      <c r="BK90" s="91"/>
    </row>
    <row r="91" spans="1:63" ht="15.75">
      <c r="A91" s="123">
        <v>500050</v>
      </c>
      <c r="B91" s="126">
        <v>206205</v>
      </c>
      <c r="C91" s="124" t="s">
        <v>880</v>
      </c>
      <c r="D91" s="124" t="s">
        <v>881</v>
      </c>
      <c r="E91" s="125" t="s">
        <v>879</v>
      </c>
      <c r="F91" s="124" t="s">
        <v>199</v>
      </c>
      <c r="G91" s="127" t="s">
        <v>46</v>
      </c>
      <c r="H91" s="126" t="s">
        <v>597</v>
      </c>
      <c r="I91" s="126" t="s">
        <v>598</v>
      </c>
      <c r="J91" s="126" t="s">
        <v>696</v>
      </c>
      <c r="K91" s="128" t="s">
        <v>697</v>
      </c>
      <c r="L91" s="121" t="s">
        <v>637</v>
      </c>
      <c r="M91" s="123" t="s">
        <v>638</v>
      </c>
      <c r="N91" s="129">
        <v>42248</v>
      </c>
      <c r="O91" s="129">
        <v>42643</v>
      </c>
      <c r="P91" s="129">
        <v>42674</v>
      </c>
      <c r="Q91" s="130">
        <v>85000</v>
      </c>
      <c r="R91" s="132">
        <v>85000</v>
      </c>
      <c r="S91" s="132"/>
      <c r="T91" s="132">
        <v>0</v>
      </c>
      <c r="U91" s="132">
        <v>0</v>
      </c>
      <c r="V91" s="132"/>
      <c r="W91" s="132">
        <v>0</v>
      </c>
      <c r="X91" s="132">
        <v>0</v>
      </c>
      <c r="Y91" s="111">
        <v>85000</v>
      </c>
      <c r="Z91" s="133">
        <f t="shared" si="12"/>
        <v>85000</v>
      </c>
      <c r="AA91" s="133">
        <f t="shared" si="13"/>
        <v>0</v>
      </c>
      <c r="AB91" s="141"/>
      <c r="AC91" s="132" t="s">
        <v>602</v>
      </c>
      <c r="AD91" s="132" t="s">
        <v>602</v>
      </c>
      <c r="AE91" s="132" t="s">
        <v>602</v>
      </c>
      <c r="AF91" s="132" t="s">
        <v>602</v>
      </c>
      <c r="AG91" s="132" t="s">
        <v>602</v>
      </c>
      <c r="AH91" s="132"/>
      <c r="AI91" s="111">
        <v>0</v>
      </c>
      <c r="AJ91" s="134">
        <f t="shared" si="19"/>
        <v>0</v>
      </c>
      <c r="AK91" s="134">
        <f t="shared" si="14"/>
        <v>0</v>
      </c>
      <c r="AL91" s="142"/>
      <c r="AM91" s="132">
        <v>0</v>
      </c>
      <c r="AN91" s="132">
        <v>0</v>
      </c>
      <c r="AO91" s="132">
        <v>0</v>
      </c>
      <c r="AP91" s="132">
        <v>0</v>
      </c>
      <c r="AQ91" s="132">
        <v>0</v>
      </c>
      <c r="AR91" s="132">
        <v>0</v>
      </c>
      <c r="AS91" s="116">
        <v>0</v>
      </c>
      <c r="AT91" s="134">
        <f t="shared" si="18"/>
        <v>0</v>
      </c>
      <c r="AU91" s="134">
        <f t="shared" si="15"/>
        <v>0</v>
      </c>
      <c r="AV91" s="142"/>
      <c r="AW91" s="132" t="s">
        <v>602</v>
      </c>
      <c r="AX91" s="132" t="s">
        <v>602</v>
      </c>
      <c r="AY91" s="132" t="s">
        <v>602</v>
      </c>
      <c r="AZ91" s="132" t="s">
        <v>602</v>
      </c>
      <c r="BA91" s="132" t="s">
        <v>602</v>
      </c>
      <c r="BB91" s="116"/>
      <c r="BC91" s="113"/>
      <c r="BD91" s="116"/>
      <c r="BE91" s="113"/>
      <c r="BF91" s="116"/>
      <c r="BG91" s="116"/>
      <c r="BH91" s="137">
        <f t="shared" si="16"/>
        <v>85000</v>
      </c>
      <c r="BI91" s="138">
        <f t="shared" si="17"/>
        <v>0</v>
      </c>
      <c r="BJ91" s="126"/>
      <c r="BK91" s="91"/>
    </row>
    <row r="92" spans="1:63" ht="15.75">
      <c r="A92" s="123">
        <v>501340</v>
      </c>
      <c r="B92" s="126">
        <v>206205</v>
      </c>
      <c r="C92" s="124" t="s">
        <v>880</v>
      </c>
      <c r="D92" s="124" t="s">
        <v>881</v>
      </c>
      <c r="E92" s="125" t="s">
        <v>879</v>
      </c>
      <c r="F92" s="124" t="s">
        <v>199</v>
      </c>
      <c r="G92" s="127" t="s">
        <v>46</v>
      </c>
      <c r="H92" s="126" t="s">
        <v>597</v>
      </c>
      <c r="I92" s="126" t="s">
        <v>598</v>
      </c>
      <c r="J92" s="126" t="s">
        <v>696</v>
      </c>
      <c r="K92" s="128" t="s">
        <v>882</v>
      </c>
      <c r="L92" s="121" t="s">
        <v>515</v>
      </c>
      <c r="M92" s="123" t="s">
        <v>698</v>
      </c>
      <c r="N92" s="129">
        <v>42614</v>
      </c>
      <c r="O92" s="129">
        <v>43708</v>
      </c>
      <c r="P92" s="129">
        <v>43343</v>
      </c>
      <c r="Q92" s="130">
        <f>416900-24.84</f>
        <v>416875.16</v>
      </c>
      <c r="R92" s="113"/>
      <c r="S92" s="132">
        <v>45000</v>
      </c>
      <c r="T92" s="132">
        <v>0</v>
      </c>
      <c r="U92" s="132">
        <v>55000</v>
      </c>
      <c r="V92" s="132"/>
      <c r="W92" s="132">
        <v>37300</v>
      </c>
      <c r="X92" s="132">
        <v>5000</v>
      </c>
      <c r="Y92" s="111">
        <v>142300</v>
      </c>
      <c r="Z92" s="133">
        <f t="shared" si="12"/>
        <v>142300</v>
      </c>
      <c r="AA92" s="133">
        <f t="shared" si="13"/>
        <v>0</v>
      </c>
      <c r="AB92" s="141"/>
      <c r="AC92" s="132">
        <v>45000</v>
      </c>
      <c r="AD92" s="132">
        <v>0</v>
      </c>
      <c r="AE92" s="132">
        <v>55000</v>
      </c>
      <c r="AF92" s="132">
        <v>37300</v>
      </c>
      <c r="AG92" s="132">
        <v>0</v>
      </c>
      <c r="AH92" s="132"/>
      <c r="AI92" s="111">
        <v>137300</v>
      </c>
      <c r="AJ92" s="134">
        <f t="shared" si="19"/>
        <v>137300</v>
      </c>
      <c r="AK92" s="134">
        <f t="shared" si="14"/>
        <v>0</v>
      </c>
      <c r="AL92" s="142"/>
      <c r="AM92" s="135">
        <v>45000</v>
      </c>
      <c r="AN92" s="135">
        <v>0</v>
      </c>
      <c r="AO92" s="135">
        <v>55000</v>
      </c>
      <c r="AP92" s="135"/>
      <c r="AQ92" s="135">
        <v>37300</v>
      </c>
      <c r="AR92" s="135">
        <v>0</v>
      </c>
      <c r="AS92" s="116">
        <v>137300</v>
      </c>
      <c r="AT92" s="134">
        <f t="shared" si="18"/>
        <v>137300</v>
      </c>
      <c r="AU92" s="134">
        <f t="shared" si="15"/>
        <v>0</v>
      </c>
      <c r="AV92" s="142"/>
      <c r="AW92" s="135"/>
      <c r="AX92" s="135"/>
      <c r="AY92" s="135"/>
      <c r="AZ92" s="135"/>
      <c r="BA92" s="135"/>
      <c r="BB92" s="116"/>
      <c r="BC92" s="113"/>
      <c r="BD92" s="116"/>
      <c r="BE92" s="113"/>
      <c r="BF92" s="116"/>
      <c r="BG92" s="116"/>
      <c r="BH92" s="137">
        <f t="shared" si="16"/>
        <v>416900</v>
      </c>
      <c r="BI92" s="138">
        <f t="shared" si="17"/>
        <v>24.840000000025611</v>
      </c>
      <c r="BJ92" s="126"/>
      <c r="BK92" s="91"/>
    </row>
    <row r="93" spans="1:63" ht="15.75">
      <c r="A93" s="123">
        <v>502561</v>
      </c>
      <c r="B93" s="126">
        <v>206205</v>
      </c>
      <c r="C93" s="124" t="s">
        <v>880</v>
      </c>
      <c r="D93" s="124" t="s">
        <v>881</v>
      </c>
      <c r="E93" s="125" t="s">
        <v>879</v>
      </c>
      <c r="F93" s="124" t="s">
        <v>199</v>
      </c>
      <c r="G93" s="127" t="s">
        <v>46</v>
      </c>
      <c r="H93" s="126" t="s">
        <v>628</v>
      </c>
      <c r="I93" s="126" t="s">
        <v>598</v>
      </c>
      <c r="J93" s="126" t="s">
        <v>696</v>
      </c>
      <c r="K93" s="128" t="s">
        <v>697</v>
      </c>
      <c r="L93" s="121" t="s">
        <v>19</v>
      </c>
      <c r="M93" s="123" t="s">
        <v>883</v>
      </c>
      <c r="N93" s="129">
        <v>42826</v>
      </c>
      <c r="O93" s="129">
        <v>43555</v>
      </c>
      <c r="P93" s="129">
        <v>43190</v>
      </c>
      <c r="Q93" s="130">
        <v>77500</v>
      </c>
      <c r="R93" s="113"/>
      <c r="S93" s="132">
        <v>24750</v>
      </c>
      <c r="T93" s="132">
        <v>0</v>
      </c>
      <c r="U93" s="132">
        <v>14000</v>
      </c>
      <c r="V93" s="132">
        <v>0</v>
      </c>
      <c r="W93" s="132">
        <v>0</v>
      </c>
      <c r="X93" s="132">
        <v>0</v>
      </c>
      <c r="Y93" s="111">
        <v>38750</v>
      </c>
      <c r="Z93" s="133">
        <f t="shared" si="12"/>
        <v>38750</v>
      </c>
      <c r="AA93" s="133">
        <f t="shared" si="13"/>
        <v>0</v>
      </c>
      <c r="AB93" s="141"/>
      <c r="AC93" s="132">
        <v>24750</v>
      </c>
      <c r="AD93" s="132">
        <v>0</v>
      </c>
      <c r="AE93" s="132">
        <v>14000</v>
      </c>
      <c r="AF93" s="132">
        <v>0</v>
      </c>
      <c r="AG93" s="132">
        <v>0</v>
      </c>
      <c r="AH93" s="132"/>
      <c r="AI93" s="111">
        <v>38750</v>
      </c>
      <c r="AJ93" s="134">
        <f t="shared" si="19"/>
        <v>38750</v>
      </c>
      <c r="AK93" s="134">
        <f t="shared" si="14"/>
        <v>0</v>
      </c>
      <c r="AL93" s="145"/>
      <c r="AM93" s="132">
        <v>0</v>
      </c>
      <c r="AN93" s="132">
        <v>0</v>
      </c>
      <c r="AO93" s="132">
        <v>0</v>
      </c>
      <c r="AP93" s="132">
        <v>0</v>
      </c>
      <c r="AQ93" s="132">
        <v>0</v>
      </c>
      <c r="AR93" s="132">
        <v>0</v>
      </c>
      <c r="AS93" s="116">
        <v>0</v>
      </c>
      <c r="AT93" s="134">
        <f t="shared" si="18"/>
        <v>0</v>
      </c>
      <c r="AU93" s="134">
        <f t="shared" si="15"/>
        <v>0</v>
      </c>
      <c r="AV93" s="142"/>
      <c r="AW93" s="135"/>
      <c r="AX93" s="135"/>
      <c r="AY93" s="135"/>
      <c r="AZ93" s="135"/>
      <c r="BA93" s="135"/>
      <c r="BB93" s="116"/>
      <c r="BC93" s="113"/>
      <c r="BD93" s="116"/>
      <c r="BE93" s="113"/>
      <c r="BF93" s="116"/>
      <c r="BG93" s="116"/>
      <c r="BH93" s="137">
        <f t="shared" si="16"/>
        <v>77500</v>
      </c>
      <c r="BI93" s="138">
        <f t="shared" si="17"/>
        <v>0</v>
      </c>
      <c r="BJ93" s="126"/>
      <c r="BK93" s="91"/>
    </row>
    <row r="94" spans="1:63" ht="15.75">
      <c r="A94" s="123">
        <v>507639</v>
      </c>
      <c r="B94" s="126">
        <v>206205</v>
      </c>
      <c r="C94" s="124" t="s">
        <v>880</v>
      </c>
      <c r="D94" s="124" t="s">
        <v>881</v>
      </c>
      <c r="E94" s="125" t="s">
        <v>879</v>
      </c>
      <c r="F94" s="124" t="s">
        <v>199</v>
      </c>
      <c r="G94" s="127" t="s">
        <v>46</v>
      </c>
      <c r="H94" s="126" t="s">
        <v>628</v>
      </c>
      <c r="I94" s="126" t="s">
        <v>598</v>
      </c>
      <c r="J94" s="126" t="s">
        <v>696</v>
      </c>
      <c r="K94" s="128" t="s">
        <v>697</v>
      </c>
      <c r="L94" s="121" t="s">
        <v>519</v>
      </c>
      <c r="M94" s="123" t="s">
        <v>847</v>
      </c>
      <c r="N94" s="129">
        <v>43709</v>
      </c>
      <c r="O94" s="129">
        <v>44530</v>
      </c>
      <c r="P94" s="129">
        <v>44530</v>
      </c>
      <c r="Q94" s="130">
        <f>240000+240000</f>
        <v>480000</v>
      </c>
      <c r="R94" s="113"/>
      <c r="S94" s="132">
        <v>158000</v>
      </c>
      <c r="T94" s="132"/>
      <c r="U94" s="132">
        <v>52000</v>
      </c>
      <c r="V94" s="132"/>
      <c r="W94" s="132">
        <v>30000</v>
      </c>
      <c r="X94" s="132"/>
      <c r="Y94" s="111">
        <v>240000</v>
      </c>
      <c r="Z94" s="133">
        <f t="shared" si="12"/>
        <v>240000</v>
      </c>
      <c r="AA94" s="133">
        <f t="shared" si="13"/>
        <v>0</v>
      </c>
      <c r="AB94" s="141"/>
      <c r="AC94" s="132">
        <v>160000</v>
      </c>
      <c r="AD94" s="132"/>
      <c r="AE94" s="132">
        <v>50000</v>
      </c>
      <c r="AF94" s="132"/>
      <c r="AG94" s="132">
        <v>30000</v>
      </c>
      <c r="AH94" s="132"/>
      <c r="AI94" s="111">
        <v>240000</v>
      </c>
      <c r="AJ94" s="134">
        <f t="shared" si="19"/>
        <v>240000</v>
      </c>
      <c r="AK94" s="134">
        <f t="shared" si="14"/>
        <v>0</v>
      </c>
      <c r="AL94" s="142"/>
      <c r="AM94" s="132">
        <v>160000</v>
      </c>
      <c r="AN94" s="132"/>
      <c r="AO94" s="132">
        <v>50000</v>
      </c>
      <c r="AP94" s="132"/>
      <c r="AQ94" s="132">
        <v>30000</v>
      </c>
      <c r="AR94" s="135"/>
      <c r="AS94" s="116">
        <f>SUM(AM94:AR94)</f>
        <v>240000</v>
      </c>
      <c r="AT94" s="134">
        <f t="shared" si="18"/>
        <v>240000</v>
      </c>
      <c r="AU94" s="134">
        <f t="shared" si="15"/>
        <v>0</v>
      </c>
      <c r="AV94" s="142"/>
      <c r="AW94" s="135"/>
      <c r="AX94" s="135"/>
      <c r="AY94" s="135"/>
      <c r="AZ94" s="135"/>
      <c r="BA94" s="135"/>
      <c r="BB94" s="116"/>
      <c r="BC94" s="113"/>
      <c r="BD94" s="116"/>
      <c r="BE94" s="113"/>
      <c r="BF94" s="116"/>
      <c r="BG94" s="116"/>
      <c r="BH94" s="137">
        <f t="shared" si="16"/>
        <v>720000</v>
      </c>
      <c r="BI94" s="138">
        <f t="shared" si="17"/>
        <v>240000</v>
      </c>
      <c r="BJ94" s="126"/>
      <c r="BK94" s="91"/>
    </row>
    <row r="95" spans="1:63" ht="15.75">
      <c r="A95" s="184">
        <v>509882</v>
      </c>
      <c r="B95" s="163">
        <v>206244</v>
      </c>
      <c r="C95" s="148" t="s">
        <v>886</v>
      </c>
      <c r="D95" s="148" t="s">
        <v>887</v>
      </c>
      <c r="E95" s="125" t="s">
        <v>884</v>
      </c>
      <c r="F95" s="183" t="s">
        <v>885</v>
      </c>
      <c r="G95" s="127" t="s">
        <v>46</v>
      </c>
      <c r="H95" s="149" t="s">
        <v>628</v>
      </c>
      <c r="I95" s="126" t="s">
        <v>598</v>
      </c>
      <c r="J95" s="149" t="s">
        <v>888</v>
      </c>
      <c r="K95" s="128" t="s">
        <v>731</v>
      </c>
      <c r="L95" s="121" t="s">
        <v>19</v>
      </c>
      <c r="M95" s="168" t="s">
        <v>889</v>
      </c>
      <c r="N95" s="129">
        <v>44044</v>
      </c>
      <c r="O95" s="129">
        <v>44592</v>
      </c>
      <c r="P95" s="129">
        <v>44592</v>
      </c>
      <c r="Q95" s="130">
        <v>19335</v>
      </c>
      <c r="R95" s="113"/>
      <c r="S95" s="132">
        <v>12000</v>
      </c>
      <c r="T95" s="132"/>
      <c r="U95" s="132">
        <v>7335</v>
      </c>
      <c r="V95" s="132"/>
      <c r="W95" s="132"/>
      <c r="X95" s="132"/>
      <c r="Y95" s="111">
        <v>19335</v>
      </c>
      <c r="Z95" s="133">
        <f>SUM(S95:X95)</f>
        <v>19335</v>
      </c>
      <c r="AA95" s="133">
        <f>Y95-Z95</f>
        <v>0</v>
      </c>
      <c r="AB95" s="141"/>
      <c r="AC95" s="132"/>
      <c r="AD95" s="132"/>
      <c r="AE95" s="132"/>
      <c r="AF95" s="132"/>
      <c r="AG95" s="132"/>
      <c r="AH95" s="132"/>
      <c r="AI95" s="111">
        <v>0</v>
      </c>
      <c r="AJ95" s="134">
        <f t="shared" si="19"/>
        <v>0</v>
      </c>
      <c r="AK95" s="134">
        <f t="shared" si="14"/>
        <v>0</v>
      </c>
      <c r="AL95" s="142"/>
      <c r="AM95" s="132"/>
      <c r="AN95" s="132"/>
      <c r="AO95" s="132"/>
      <c r="AP95" s="132"/>
      <c r="AQ95" s="132"/>
      <c r="AR95" s="132"/>
      <c r="AS95" s="116">
        <v>0</v>
      </c>
      <c r="AT95" s="134">
        <f t="shared" si="18"/>
        <v>0</v>
      </c>
      <c r="AU95" s="134">
        <f t="shared" si="15"/>
        <v>0</v>
      </c>
      <c r="AV95" s="142"/>
      <c r="AW95" s="135"/>
      <c r="AX95" s="135"/>
      <c r="AY95" s="135"/>
      <c r="AZ95" s="135"/>
      <c r="BA95" s="135"/>
      <c r="BB95" s="116"/>
      <c r="BC95" s="113"/>
      <c r="BD95" s="116"/>
      <c r="BE95" s="113"/>
      <c r="BF95" s="116"/>
      <c r="BG95" s="116"/>
      <c r="BH95" s="137">
        <f t="shared" si="16"/>
        <v>19335</v>
      </c>
      <c r="BI95" s="138">
        <f t="shared" si="17"/>
        <v>0</v>
      </c>
      <c r="BJ95" s="126"/>
      <c r="BK95" s="91"/>
    </row>
    <row r="96" spans="1:63" ht="15.75">
      <c r="A96" s="123">
        <v>505062</v>
      </c>
      <c r="B96" s="126">
        <v>206247</v>
      </c>
      <c r="C96" s="148" t="s">
        <v>891</v>
      </c>
      <c r="D96" s="148" t="s">
        <v>892</v>
      </c>
      <c r="E96" s="125" t="s">
        <v>890</v>
      </c>
      <c r="F96" s="124" t="s">
        <v>173</v>
      </c>
      <c r="G96" s="127" t="s">
        <v>46</v>
      </c>
      <c r="H96" s="149" t="s">
        <v>597</v>
      </c>
      <c r="I96" s="149" t="s">
        <v>893</v>
      </c>
      <c r="J96" s="126" t="s">
        <v>894</v>
      </c>
      <c r="K96" s="128" t="s">
        <v>895</v>
      </c>
      <c r="L96" s="121" t="s">
        <v>517</v>
      </c>
      <c r="M96" s="123" t="s">
        <v>896</v>
      </c>
      <c r="N96" s="129">
        <v>43191</v>
      </c>
      <c r="O96" s="129">
        <v>43728</v>
      </c>
      <c r="P96" s="129">
        <v>43728</v>
      </c>
      <c r="Q96" s="144">
        <v>84488.5</v>
      </c>
      <c r="R96" s="150"/>
      <c r="S96" s="132">
        <v>50000</v>
      </c>
      <c r="T96" s="132">
        <v>0</v>
      </c>
      <c r="U96" s="132">
        <v>0</v>
      </c>
      <c r="V96" s="132"/>
      <c r="W96" s="132">
        <v>0</v>
      </c>
      <c r="X96" s="132">
        <v>0</v>
      </c>
      <c r="Y96" s="111">
        <v>50000</v>
      </c>
      <c r="Z96" s="133">
        <f t="shared" ref="Z96:Z127" si="20">SUM(R96:X96)</f>
        <v>50000</v>
      </c>
      <c r="AA96" s="133">
        <f t="shared" ref="AA96:AA127" si="21">Z96-Y96</f>
        <v>0</v>
      </c>
      <c r="AB96" s="141"/>
      <c r="AC96" s="132">
        <f>50000-15511.5</f>
        <v>34488.5</v>
      </c>
      <c r="AD96" s="132">
        <v>0</v>
      </c>
      <c r="AE96" s="132">
        <v>0</v>
      </c>
      <c r="AF96" s="132">
        <v>0</v>
      </c>
      <c r="AG96" s="132">
        <v>0</v>
      </c>
      <c r="AH96" s="132"/>
      <c r="AI96" s="111">
        <v>34488.5</v>
      </c>
      <c r="AJ96" s="134">
        <f t="shared" si="19"/>
        <v>34488.5</v>
      </c>
      <c r="AK96" s="134">
        <f t="shared" si="14"/>
        <v>0</v>
      </c>
      <c r="AL96" s="142"/>
      <c r="AM96" s="132">
        <v>0</v>
      </c>
      <c r="AN96" s="132">
        <v>0</v>
      </c>
      <c r="AO96" s="132">
        <v>0</v>
      </c>
      <c r="AP96" s="132">
        <v>0</v>
      </c>
      <c r="AQ96" s="132">
        <v>0</v>
      </c>
      <c r="AR96" s="132">
        <v>0</v>
      </c>
      <c r="AS96" s="116">
        <v>0</v>
      </c>
      <c r="AT96" s="134">
        <f t="shared" si="18"/>
        <v>0</v>
      </c>
      <c r="AU96" s="134">
        <f t="shared" si="15"/>
        <v>0</v>
      </c>
      <c r="AV96" s="142"/>
      <c r="AW96" s="135"/>
      <c r="AX96" s="135"/>
      <c r="AY96" s="135"/>
      <c r="AZ96" s="135"/>
      <c r="BA96" s="135"/>
      <c r="BB96" s="116"/>
      <c r="BC96" s="113"/>
      <c r="BD96" s="116"/>
      <c r="BE96" s="113"/>
      <c r="BF96" s="116"/>
      <c r="BG96" s="116"/>
      <c r="BH96" s="137">
        <f t="shared" si="16"/>
        <v>84488.5</v>
      </c>
      <c r="BI96" s="138">
        <f t="shared" si="17"/>
        <v>0</v>
      </c>
      <c r="BJ96" s="147" t="s">
        <v>897</v>
      </c>
      <c r="BK96" s="91"/>
    </row>
    <row r="97" spans="1:63" ht="15.75">
      <c r="A97" s="123">
        <v>501347</v>
      </c>
      <c r="B97" s="126">
        <v>206470</v>
      </c>
      <c r="C97" s="124" t="s">
        <v>900</v>
      </c>
      <c r="D97" s="124" t="s">
        <v>901</v>
      </c>
      <c r="E97" s="125" t="s">
        <v>899</v>
      </c>
      <c r="F97" s="124" t="s">
        <v>312</v>
      </c>
      <c r="G97" s="127" t="s">
        <v>46</v>
      </c>
      <c r="H97" s="126" t="s">
        <v>628</v>
      </c>
      <c r="I97" s="126" t="s">
        <v>609</v>
      </c>
      <c r="J97" s="126" t="s">
        <v>818</v>
      </c>
      <c r="K97" s="128" t="s">
        <v>866</v>
      </c>
      <c r="L97" s="121" t="s">
        <v>515</v>
      </c>
      <c r="M97" s="123" t="s">
        <v>867</v>
      </c>
      <c r="N97" s="129">
        <v>42614</v>
      </c>
      <c r="O97" s="129">
        <v>43708</v>
      </c>
      <c r="P97" s="129">
        <v>43921</v>
      </c>
      <c r="Q97" s="130">
        <v>74300</v>
      </c>
      <c r="R97" s="113"/>
      <c r="S97" s="132">
        <v>13500</v>
      </c>
      <c r="T97" s="132">
        <v>11800</v>
      </c>
      <c r="U97" s="132">
        <v>1350</v>
      </c>
      <c r="V97" s="132"/>
      <c r="W97" s="132">
        <v>0</v>
      </c>
      <c r="X97" s="132">
        <v>0</v>
      </c>
      <c r="Y97" s="111">
        <v>26650</v>
      </c>
      <c r="Z97" s="133">
        <f t="shared" si="20"/>
        <v>26650</v>
      </c>
      <c r="AA97" s="133">
        <f t="shared" si="21"/>
        <v>0</v>
      </c>
      <c r="AB97" s="141"/>
      <c r="AC97" s="132">
        <v>13500</v>
      </c>
      <c r="AD97" s="132">
        <v>11000</v>
      </c>
      <c r="AE97" s="132">
        <v>1250</v>
      </c>
      <c r="AF97" s="132">
        <v>0</v>
      </c>
      <c r="AG97" s="132">
        <v>0</v>
      </c>
      <c r="AH97" s="132"/>
      <c r="AI97" s="111">
        <v>25750</v>
      </c>
      <c r="AJ97" s="134">
        <f t="shared" si="19"/>
        <v>25750</v>
      </c>
      <c r="AK97" s="134">
        <f t="shared" si="14"/>
        <v>0</v>
      </c>
      <c r="AL97" s="142"/>
      <c r="AM97" s="135">
        <v>15000</v>
      </c>
      <c r="AN97" s="135">
        <v>6900</v>
      </c>
      <c r="AO97" s="135">
        <v>0</v>
      </c>
      <c r="AP97" s="135"/>
      <c r="AQ97" s="135">
        <v>0</v>
      </c>
      <c r="AR97" s="135">
        <v>0</v>
      </c>
      <c r="AS97" s="116">
        <v>21900</v>
      </c>
      <c r="AT97" s="134">
        <f t="shared" si="18"/>
        <v>21900</v>
      </c>
      <c r="AU97" s="134">
        <f t="shared" si="15"/>
        <v>0</v>
      </c>
      <c r="AV97" s="142"/>
      <c r="AW97" s="135"/>
      <c r="AX97" s="135"/>
      <c r="AY97" s="135"/>
      <c r="AZ97" s="135"/>
      <c r="BA97" s="135"/>
      <c r="BB97" s="116"/>
      <c r="BC97" s="113"/>
      <c r="BD97" s="116"/>
      <c r="BE97" s="113"/>
      <c r="BF97" s="116"/>
      <c r="BG97" s="116"/>
      <c r="BH97" s="137">
        <f t="shared" si="16"/>
        <v>74300</v>
      </c>
      <c r="BI97" s="138">
        <f t="shared" si="17"/>
        <v>0</v>
      </c>
      <c r="BJ97" s="126"/>
      <c r="BK97" s="91"/>
    </row>
    <row r="98" spans="1:63" ht="15.75">
      <c r="A98" s="139">
        <v>507777</v>
      </c>
      <c r="B98" s="126">
        <v>206470</v>
      </c>
      <c r="C98" s="124" t="s">
        <v>900</v>
      </c>
      <c r="D98" s="124" t="s">
        <v>901</v>
      </c>
      <c r="E98" s="140" t="s">
        <v>899</v>
      </c>
      <c r="F98" s="124" t="s">
        <v>312</v>
      </c>
      <c r="G98" s="127" t="s">
        <v>46</v>
      </c>
      <c r="H98" s="126" t="s">
        <v>628</v>
      </c>
      <c r="I98" s="126" t="s">
        <v>609</v>
      </c>
      <c r="J98" s="126" t="s">
        <v>818</v>
      </c>
      <c r="K98" s="128" t="s">
        <v>866</v>
      </c>
      <c r="L98" s="121" t="s">
        <v>519</v>
      </c>
      <c r="M98" s="123" t="s">
        <v>769</v>
      </c>
      <c r="N98" s="129">
        <v>43709</v>
      </c>
      <c r="O98" s="129">
        <v>44530</v>
      </c>
      <c r="P98" s="129">
        <v>44530</v>
      </c>
      <c r="Q98" s="130">
        <f>36735+17265+54000</f>
        <v>108000</v>
      </c>
      <c r="R98" s="113"/>
      <c r="S98" s="132">
        <v>34560</v>
      </c>
      <c r="T98" s="132">
        <v>0</v>
      </c>
      <c r="U98" s="132">
        <v>11520</v>
      </c>
      <c r="V98" s="132">
        <v>1440</v>
      </c>
      <c r="W98" s="132">
        <v>6480</v>
      </c>
      <c r="X98" s="132">
        <v>0</v>
      </c>
      <c r="Y98" s="111">
        <v>54000</v>
      </c>
      <c r="Z98" s="133">
        <f t="shared" si="20"/>
        <v>54000</v>
      </c>
      <c r="AA98" s="133">
        <f t="shared" si="21"/>
        <v>0</v>
      </c>
      <c r="AB98" s="141"/>
      <c r="AC98" s="132">
        <v>34560</v>
      </c>
      <c r="AD98" s="132">
        <v>0</v>
      </c>
      <c r="AE98" s="132">
        <v>11520</v>
      </c>
      <c r="AF98" s="132">
        <v>1440</v>
      </c>
      <c r="AG98" s="132">
        <v>6480</v>
      </c>
      <c r="AH98" s="132">
        <v>0</v>
      </c>
      <c r="AI98" s="111">
        <v>54000</v>
      </c>
      <c r="AJ98" s="134">
        <f t="shared" si="19"/>
        <v>54000</v>
      </c>
      <c r="AK98" s="134">
        <f t="shared" si="14"/>
        <v>0</v>
      </c>
      <c r="AL98" s="142"/>
      <c r="AM98" s="132">
        <v>34560</v>
      </c>
      <c r="AN98" s="132">
        <v>0</v>
      </c>
      <c r="AO98" s="132">
        <v>11520</v>
      </c>
      <c r="AP98" s="132">
        <v>1440</v>
      </c>
      <c r="AQ98" s="132">
        <v>6480</v>
      </c>
      <c r="AR98" s="132">
        <v>0</v>
      </c>
      <c r="AS98" s="116">
        <f>SUM(AM98:AR98)</f>
        <v>54000</v>
      </c>
      <c r="AT98" s="134">
        <f t="shared" si="18"/>
        <v>54000</v>
      </c>
      <c r="AU98" s="134">
        <f t="shared" si="15"/>
        <v>0</v>
      </c>
      <c r="AV98" s="142"/>
      <c r="AW98" s="135"/>
      <c r="AX98" s="135"/>
      <c r="AY98" s="135"/>
      <c r="AZ98" s="135"/>
      <c r="BA98" s="135"/>
      <c r="BB98" s="116"/>
      <c r="BC98" s="113"/>
      <c r="BD98" s="116"/>
      <c r="BE98" s="113"/>
      <c r="BF98" s="116"/>
      <c r="BG98" s="116"/>
      <c r="BH98" s="137">
        <f t="shared" si="16"/>
        <v>162000</v>
      </c>
      <c r="BI98" s="138">
        <f t="shared" si="17"/>
        <v>54000</v>
      </c>
      <c r="BJ98" s="126"/>
      <c r="BK98" s="91"/>
    </row>
    <row r="99" spans="1:63" ht="15.75">
      <c r="A99" s="123">
        <v>501344</v>
      </c>
      <c r="B99" s="126">
        <v>206595</v>
      </c>
      <c r="C99" s="124" t="s">
        <v>903</v>
      </c>
      <c r="D99" s="124" t="s">
        <v>904</v>
      </c>
      <c r="E99" s="125" t="s">
        <v>902</v>
      </c>
      <c r="F99" s="124" t="s">
        <v>76</v>
      </c>
      <c r="G99" s="127" t="s">
        <v>46</v>
      </c>
      <c r="H99" s="126" t="s">
        <v>628</v>
      </c>
      <c r="I99" s="126" t="s">
        <v>609</v>
      </c>
      <c r="J99" s="126" t="s">
        <v>710</v>
      </c>
      <c r="K99" s="128" t="s">
        <v>711</v>
      </c>
      <c r="L99" s="121" t="s">
        <v>515</v>
      </c>
      <c r="M99" s="123" t="s">
        <v>667</v>
      </c>
      <c r="N99" s="129">
        <v>42614</v>
      </c>
      <c r="O99" s="129">
        <v>43708</v>
      </c>
      <c r="P99" s="129">
        <v>43708</v>
      </c>
      <c r="Q99" s="130">
        <v>187500</v>
      </c>
      <c r="R99" s="113"/>
      <c r="S99" s="132">
        <v>25000</v>
      </c>
      <c r="T99" s="132">
        <v>0</v>
      </c>
      <c r="U99" s="132">
        <v>12500</v>
      </c>
      <c r="V99" s="132"/>
      <c r="W99" s="132">
        <v>0</v>
      </c>
      <c r="X99" s="132">
        <v>0</v>
      </c>
      <c r="Y99" s="111">
        <v>37500</v>
      </c>
      <c r="Z99" s="133">
        <f t="shared" si="20"/>
        <v>37500</v>
      </c>
      <c r="AA99" s="133">
        <f t="shared" si="21"/>
        <v>0</v>
      </c>
      <c r="AB99" s="141"/>
      <c r="AC99" s="132">
        <v>50000</v>
      </c>
      <c r="AD99" s="132">
        <v>0</v>
      </c>
      <c r="AE99" s="132">
        <v>25000</v>
      </c>
      <c r="AF99" s="132">
        <v>0</v>
      </c>
      <c r="AG99" s="132">
        <v>0</v>
      </c>
      <c r="AH99" s="132"/>
      <c r="AI99" s="111">
        <v>75000</v>
      </c>
      <c r="AJ99" s="134">
        <f t="shared" si="19"/>
        <v>75000</v>
      </c>
      <c r="AK99" s="134">
        <f t="shared" si="14"/>
        <v>0</v>
      </c>
      <c r="AL99" s="142"/>
      <c r="AM99" s="135">
        <v>50000</v>
      </c>
      <c r="AN99" s="135">
        <v>0</v>
      </c>
      <c r="AO99" s="135">
        <v>25000</v>
      </c>
      <c r="AP99" s="135"/>
      <c r="AQ99" s="135">
        <v>0</v>
      </c>
      <c r="AR99" s="135">
        <v>0</v>
      </c>
      <c r="AS99" s="116">
        <v>75000</v>
      </c>
      <c r="AT99" s="134">
        <f t="shared" si="18"/>
        <v>75000</v>
      </c>
      <c r="AU99" s="134">
        <f t="shared" si="15"/>
        <v>0</v>
      </c>
      <c r="AV99" s="142"/>
      <c r="AW99" s="135"/>
      <c r="AX99" s="135"/>
      <c r="AY99" s="135"/>
      <c r="AZ99" s="135"/>
      <c r="BA99" s="135"/>
      <c r="BB99" s="116"/>
      <c r="BC99" s="113"/>
      <c r="BD99" s="116"/>
      <c r="BE99" s="113"/>
      <c r="BF99" s="116"/>
      <c r="BG99" s="116"/>
      <c r="BH99" s="137">
        <f t="shared" si="16"/>
        <v>187500</v>
      </c>
      <c r="BI99" s="138">
        <f t="shared" si="17"/>
        <v>0</v>
      </c>
      <c r="BJ99" s="126"/>
      <c r="BK99" s="91"/>
    </row>
    <row r="100" spans="1:63" ht="15.75">
      <c r="A100" s="123">
        <v>507638</v>
      </c>
      <c r="B100" s="126">
        <v>206595</v>
      </c>
      <c r="C100" s="124" t="s">
        <v>903</v>
      </c>
      <c r="D100" s="124" t="s">
        <v>904</v>
      </c>
      <c r="E100" s="125" t="s">
        <v>902</v>
      </c>
      <c r="F100" s="124" t="s">
        <v>76</v>
      </c>
      <c r="G100" s="127" t="s">
        <v>46</v>
      </c>
      <c r="H100" s="126" t="s">
        <v>628</v>
      </c>
      <c r="I100" s="126" t="s">
        <v>609</v>
      </c>
      <c r="J100" s="126" t="s">
        <v>710</v>
      </c>
      <c r="K100" s="128" t="s">
        <v>711</v>
      </c>
      <c r="L100" s="121" t="s">
        <v>519</v>
      </c>
      <c r="M100" s="123" t="s">
        <v>791</v>
      </c>
      <c r="N100" s="129">
        <v>43709</v>
      </c>
      <c r="O100" s="129">
        <v>44530</v>
      </c>
      <c r="P100" s="129">
        <v>44530</v>
      </c>
      <c r="Q100" s="130">
        <f>133750+133750</f>
        <v>267500</v>
      </c>
      <c r="R100" s="113"/>
      <c r="S100" s="132">
        <v>95000</v>
      </c>
      <c r="T100" s="132"/>
      <c r="U100" s="132">
        <v>22750</v>
      </c>
      <c r="V100" s="132"/>
      <c r="W100" s="132">
        <v>16000</v>
      </c>
      <c r="X100" s="132"/>
      <c r="Y100" s="111">
        <v>133750</v>
      </c>
      <c r="Z100" s="133">
        <f t="shared" si="20"/>
        <v>133750</v>
      </c>
      <c r="AA100" s="133">
        <f t="shared" si="21"/>
        <v>0</v>
      </c>
      <c r="AB100" s="141"/>
      <c r="AC100" s="132">
        <v>95000</v>
      </c>
      <c r="AD100" s="132"/>
      <c r="AE100" s="132">
        <v>22750</v>
      </c>
      <c r="AF100" s="132"/>
      <c r="AG100" s="132">
        <v>16000</v>
      </c>
      <c r="AH100" s="132"/>
      <c r="AI100" s="111">
        <v>133750</v>
      </c>
      <c r="AJ100" s="134">
        <f t="shared" si="19"/>
        <v>133750</v>
      </c>
      <c r="AK100" s="134">
        <f t="shared" si="14"/>
        <v>0</v>
      </c>
      <c r="AL100" s="142"/>
      <c r="AM100" s="132">
        <v>95000</v>
      </c>
      <c r="AN100" s="132">
        <v>0</v>
      </c>
      <c r="AO100" s="132">
        <v>21500</v>
      </c>
      <c r="AP100" s="132">
        <v>0</v>
      </c>
      <c r="AQ100" s="132">
        <v>16000</v>
      </c>
      <c r="AR100" s="132"/>
      <c r="AS100" s="116">
        <f>SUM(AM100:AR100)</f>
        <v>132500</v>
      </c>
      <c r="AT100" s="134">
        <f t="shared" si="18"/>
        <v>132500</v>
      </c>
      <c r="AU100" s="134">
        <f t="shared" si="15"/>
        <v>0</v>
      </c>
      <c r="AV100" s="142"/>
      <c r="AW100" s="135"/>
      <c r="AX100" s="135"/>
      <c r="AY100" s="135"/>
      <c r="AZ100" s="135"/>
      <c r="BA100" s="135"/>
      <c r="BB100" s="116"/>
      <c r="BC100" s="113"/>
      <c r="BD100" s="116"/>
      <c r="BE100" s="113"/>
      <c r="BF100" s="116"/>
      <c r="BG100" s="116"/>
      <c r="BH100" s="137">
        <f t="shared" si="16"/>
        <v>400000</v>
      </c>
      <c r="BI100" s="138">
        <f t="shared" si="17"/>
        <v>132500</v>
      </c>
      <c r="BJ100" s="126"/>
      <c r="BK100" s="91"/>
    </row>
    <row r="101" spans="1:63" ht="15.75">
      <c r="A101" s="123">
        <v>507639</v>
      </c>
      <c r="B101" s="126">
        <v>206595</v>
      </c>
      <c r="C101" s="124" t="s">
        <v>903</v>
      </c>
      <c r="D101" s="124" t="s">
        <v>904</v>
      </c>
      <c r="E101" s="125" t="s">
        <v>902</v>
      </c>
      <c r="F101" s="124" t="s">
        <v>76</v>
      </c>
      <c r="G101" s="127" t="s">
        <v>46</v>
      </c>
      <c r="H101" s="126" t="s">
        <v>628</v>
      </c>
      <c r="I101" s="126" t="s">
        <v>609</v>
      </c>
      <c r="J101" s="126" t="s">
        <v>710</v>
      </c>
      <c r="K101" s="128" t="s">
        <v>711</v>
      </c>
      <c r="L101" s="121" t="s">
        <v>519</v>
      </c>
      <c r="M101" s="123" t="s">
        <v>847</v>
      </c>
      <c r="N101" s="129">
        <v>43709</v>
      </c>
      <c r="O101" s="129">
        <v>44530</v>
      </c>
      <c r="P101" s="129">
        <v>44530</v>
      </c>
      <c r="Q101" s="130">
        <f>40000+40000</f>
        <v>80000</v>
      </c>
      <c r="R101" s="113"/>
      <c r="S101" s="132">
        <v>15000</v>
      </c>
      <c r="T101" s="132"/>
      <c r="U101" s="132">
        <v>15000</v>
      </c>
      <c r="V101" s="132"/>
      <c r="W101" s="132">
        <v>10000</v>
      </c>
      <c r="X101" s="132"/>
      <c r="Y101" s="111">
        <v>40000</v>
      </c>
      <c r="Z101" s="133">
        <f t="shared" si="20"/>
        <v>40000</v>
      </c>
      <c r="AA101" s="133">
        <f t="shared" si="21"/>
        <v>0</v>
      </c>
      <c r="AB101" s="141"/>
      <c r="AC101" s="132">
        <v>15000</v>
      </c>
      <c r="AD101" s="132"/>
      <c r="AE101" s="132">
        <v>15000</v>
      </c>
      <c r="AF101" s="132"/>
      <c r="AG101" s="132">
        <v>10000</v>
      </c>
      <c r="AH101" s="132"/>
      <c r="AI101" s="111">
        <v>40000</v>
      </c>
      <c r="AJ101" s="134">
        <f t="shared" si="19"/>
        <v>40000</v>
      </c>
      <c r="AK101" s="134">
        <f t="shared" si="14"/>
        <v>0</v>
      </c>
      <c r="AL101" s="142"/>
      <c r="AM101" s="132">
        <v>15000</v>
      </c>
      <c r="AN101" s="132"/>
      <c r="AO101" s="132">
        <v>15000</v>
      </c>
      <c r="AP101" s="132"/>
      <c r="AQ101" s="132">
        <v>10000</v>
      </c>
      <c r="AR101" s="132"/>
      <c r="AS101" s="116">
        <f>SUM(AM101:AR101)</f>
        <v>40000</v>
      </c>
      <c r="AT101" s="134">
        <f t="shared" si="18"/>
        <v>40000</v>
      </c>
      <c r="AU101" s="134">
        <f t="shared" si="15"/>
        <v>0</v>
      </c>
      <c r="AV101" s="142"/>
      <c r="AW101" s="135"/>
      <c r="AX101" s="135"/>
      <c r="AY101" s="135"/>
      <c r="AZ101" s="135"/>
      <c r="BA101" s="135"/>
      <c r="BB101" s="116"/>
      <c r="BC101" s="113"/>
      <c r="BD101" s="116"/>
      <c r="BE101" s="113"/>
      <c r="BF101" s="116"/>
      <c r="BG101" s="116"/>
      <c r="BH101" s="137">
        <f t="shared" si="16"/>
        <v>120000</v>
      </c>
      <c r="BI101" s="138">
        <f t="shared" si="17"/>
        <v>40000</v>
      </c>
      <c r="BJ101" s="126"/>
      <c r="BK101" s="91"/>
    </row>
    <row r="102" spans="1:63" ht="15.75">
      <c r="A102" s="180">
        <v>509284</v>
      </c>
      <c r="B102" s="126">
        <v>206595</v>
      </c>
      <c r="C102" s="124" t="s">
        <v>903</v>
      </c>
      <c r="D102" s="124" t="s">
        <v>904</v>
      </c>
      <c r="E102" s="125" t="s">
        <v>902</v>
      </c>
      <c r="F102" s="124" t="s">
        <v>76</v>
      </c>
      <c r="G102" s="127" t="s">
        <v>46</v>
      </c>
      <c r="H102" s="126" t="s">
        <v>597</v>
      </c>
      <c r="I102" s="126" t="s">
        <v>609</v>
      </c>
      <c r="J102" s="126" t="s">
        <v>710</v>
      </c>
      <c r="K102" s="128" t="s">
        <v>711</v>
      </c>
      <c r="L102" s="121" t="s">
        <v>517</v>
      </c>
      <c r="M102" s="123" t="s">
        <v>905</v>
      </c>
      <c r="N102" s="129">
        <v>44013</v>
      </c>
      <c r="O102" s="129">
        <v>44742</v>
      </c>
      <c r="P102" s="129">
        <v>44742</v>
      </c>
      <c r="Q102" s="130">
        <v>75000</v>
      </c>
      <c r="R102" s="113"/>
      <c r="S102" s="132">
        <v>75000</v>
      </c>
      <c r="T102" s="132"/>
      <c r="U102" s="132"/>
      <c r="V102" s="132"/>
      <c r="W102" s="132"/>
      <c r="X102" s="132"/>
      <c r="Y102" s="111">
        <v>75000</v>
      </c>
      <c r="Z102" s="133">
        <f t="shared" si="20"/>
        <v>75000</v>
      </c>
      <c r="AA102" s="133">
        <f t="shared" si="21"/>
        <v>0</v>
      </c>
      <c r="AB102" s="141"/>
      <c r="AC102" s="132">
        <v>75000</v>
      </c>
      <c r="AD102" s="132"/>
      <c r="AE102" s="132"/>
      <c r="AF102" s="132"/>
      <c r="AG102" s="132"/>
      <c r="AH102" s="132"/>
      <c r="AI102" s="111">
        <v>75000</v>
      </c>
      <c r="AJ102" s="134">
        <f t="shared" si="19"/>
        <v>75000</v>
      </c>
      <c r="AK102" s="134">
        <f t="shared" si="14"/>
        <v>0</v>
      </c>
      <c r="AL102" s="142"/>
      <c r="AM102" s="132"/>
      <c r="AN102" s="132"/>
      <c r="AO102" s="132"/>
      <c r="AP102" s="132"/>
      <c r="AQ102" s="132"/>
      <c r="AR102" s="132"/>
      <c r="AS102" s="116"/>
      <c r="AT102" s="134">
        <f t="shared" si="18"/>
        <v>0</v>
      </c>
      <c r="AU102" s="134">
        <f t="shared" si="15"/>
        <v>0</v>
      </c>
      <c r="AV102" s="142"/>
      <c r="AW102" s="135"/>
      <c r="AX102" s="135"/>
      <c r="AY102" s="135"/>
      <c r="AZ102" s="135"/>
      <c r="BA102" s="135"/>
      <c r="BB102" s="116"/>
      <c r="BC102" s="113"/>
      <c r="BD102" s="116"/>
      <c r="BE102" s="113"/>
      <c r="BF102" s="116"/>
      <c r="BG102" s="116"/>
      <c r="BH102" s="137">
        <f t="shared" si="16"/>
        <v>150000</v>
      </c>
      <c r="BI102" s="138">
        <f t="shared" si="17"/>
        <v>75000</v>
      </c>
      <c r="BJ102" s="126" t="s">
        <v>906</v>
      </c>
      <c r="BK102" s="91"/>
    </row>
    <row r="103" spans="1:63" ht="15.75">
      <c r="A103" s="123">
        <v>502562</v>
      </c>
      <c r="B103" s="126">
        <v>206976</v>
      </c>
      <c r="C103" s="121" t="s">
        <v>909</v>
      </c>
      <c r="D103" s="121" t="s">
        <v>910</v>
      </c>
      <c r="E103" s="125" t="s">
        <v>907</v>
      </c>
      <c r="F103" s="124" t="s">
        <v>908</v>
      </c>
      <c r="G103" s="127" t="s">
        <v>46</v>
      </c>
      <c r="H103" s="123" t="s">
        <v>597</v>
      </c>
      <c r="I103" s="126" t="s">
        <v>598</v>
      </c>
      <c r="J103" s="126" t="s">
        <v>635</v>
      </c>
      <c r="K103" s="128" t="s">
        <v>911</v>
      </c>
      <c r="L103" s="121" t="s">
        <v>19</v>
      </c>
      <c r="M103" s="123" t="s">
        <v>912</v>
      </c>
      <c r="N103" s="129">
        <v>42826</v>
      </c>
      <c r="O103" s="129">
        <v>43555</v>
      </c>
      <c r="P103" s="129">
        <v>43646</v>
      </c>
      <c r="Q103" s="144">
        <v>200000</v>
      </c>
      <c r="R103" s="150"/>
      <c r="S103" s="132">
        <v>26500</v>
      </c>
      <c r="T103" s="132">
        <v>0</v>
      </c>
      <c r="U103" s="132">
        <v>58500</v>
      </c>
      <c r="V103" s="132">
        <v>0</v>
      </c>
      <c r="W103" s="132">
        <v>15000</v>
      </c>
      <c r="X103" s="132">
        <v>0</v>
      </c>
      <c r="Y103" s="111">
        <v>100000</v>
      </c>
      <c r="Z103" s="133">
        <f t="shared" si="20"/>
        <v>100000</v>
      </c>
      <c r="AA103" s="133">
        <f t="shared" si="21"/>
        <v>0</v>
      </c>
      <c r="AB103" s="141"/>
      <c r="AC103" s="132">
        <v>26500</v>
      </c>
      <c r="AD103" s="132">
        <v>0</v>
      </c>
      <c r="AE103" s="132">
        <v>61713.73</v>
      </c>
      <c r="AF103" s="132">
        <v>0</v>
      </c>
      <c r="AG103" s="132">
        <v>11786.27</v>
      </c>
      <c r="AH103" s="132"/>
      <c r="AI103" s="111">
        <v>100000.00000000001</v>
      </c>
      <c r="AJ103" s="134">
        <f t="shared" si="19"/>
        <v>100000.00000000001</v>
      </c>
      <c r="AK103" s="134">
        <f t="shared" si="14"/>
        <v>0</v>
      </c>
      <c r="AL103" s="145"/>
      <c r="AM103" s="132">
        <v>0</v>
      </c>
      <c r="AN103" s="132">
        <v>0</v>
      </c>
      <c r="AO103" s="132">
        <v>0</v>
      </c>
      <c r="AP103" s="132">
        <v>0</v>
      </c>
      <c r="AQ103" s="132">
        <v>0</v>
      </c>
      <c r="AR103" s="132">
        <v>0</v>
      </c>
      <c r="AS103" s="116">
        <v>0</v>
      </c>
      <c r="AT103" s="134">
        <f t="shared" si="18"/>
        <v>0</v>
      </c>
      <c r="AU103" s="134">
        <f t="shared" si="15"/>
        <v>0</v>
      </c>
      <c r="AV103" s="142"/>
      <c r="AW103" s="135"/>
      <c r="AX103" s="135"/>
      <c r="AY103" s="135"/>
      <c r="AZ103" s="135"/>
      <c r="BA103" s="135"/>
      <c r="BB103" s="116"/>
      <c r="BC103" s="113"/>
      <c r="BD103" s="116"/>
      <c r="BE103" s="113"/>
      <c r="BF103" s="116"/>
      <c r="BG103" s="116"/>
      <c r="BH103" s="137">
        <f t="shared" si="16"/>
        <v>200000</v>
      </c>
      <c r="BI103" s="138">
        <f t="shared" si="17"/>
        <v>0</v>
      </c>
      <c r="BJ103" s="124" t="s">
        <v>913</v>
      </c>
      <c r="BK103" s="91"/>
    </row>
    <row r="104" spans="1:63" ht="15.75">
      <c r="A104" s="123">
        <v>506456</v>
      </c>
      <c r="B104" s="126">
        <v>207032</v>
      </c>
      <c r="C104" s="124" t="s">
        <v>916</v>
      </c>
      <c r="D104" s="124" t="s">
        <v>917</v>
      </c>
      <c r="E104" s="156" t="s">
        <v>914</v>
      </c>
      <c r="F104" s="124" t="s">
        <v>915</v>
      </c>
      <c r="G104" s="127" t="s">
        <v>46</v>
      </c>
      <c r="H104" s="126" t="s">
        <v>628</v>
      </c>
      <c r="I104" s="126" t="s">
        <v>918</v>
      </c>
      <c r="J104" s="126" t="s">
        <v>919</v>
      </c>
      <c r="K104" s="126" t="s">
        <v>920</v>
      </c>
      <c r="L104" s="121" t="s">
        <v>19</v>
      </c>
      <c r="M104" s="123" t="s">
        <v>921</v>
      </c>
      <c r="N104" s="129">
        <v>43556</v>
      </c>
      <c r="O104" s="129">
        <v>44561</v>
      </c>
      <c r="P104" s="129">
        <v>44561</v>
      </c>
      <c r="Q104" s="130">
        <f>50000+50000</f>
        <v>100000</v>
      </c>
      <c r="R104" s="113"/>
      <c r="S104" s="132">
        <v>27000</v>
      </c>
      <c r="T104" s="132">
        <v>0</v>
      </c>
      <c r="U104" s="132">
        <v>13000</v>
      </c>
      <c r="V104" s="132">
        <v>0</v>
      </c>
      <c r="W104" s="132">
        <v>5000</v>
      </c>
      <c r="X104" s="132">
        <v>5000</v>
      </c>
      <c r="Y104" s="111">
        <v>50000</v>
      </c>
      <c r="Z104" s="133">
        <f t="shared" si="20"/>
        <v>50000</v>
      </c>
      <c r="AA104" s="133">
        <f t="shared" si="21"/>
        <v>0</v>
      </c>
      <c r="AB104" s="141"/>
      <c r="AC104" s="132">
        <v>27000</v>
      </c>
      <c r="AD104" s="132">
        <v>0</v>
      </c>
      <c r="AE104" s="132">
        <v>13000</v>
      </c>
      <c r="AF104" s="132">
        <v>0</v>
      </c>
      <c r="AG104" s="132">
        <v>5000</v>
      </c>
      <c r="AH104" s="132">
        <v>5000</v>
      </c>
      <c r="AI104" s="111">
        <v>50000</v>
      </c>
      <c r="AJ104" s="134">
        <f t="shared" si="19"/>
        <v>50000</v>
      </c>
      <c r="AK104" s="134">
        <f t="shared" si="14"/>
        <v>0</v>
      </c>
      <c r="AL104" s="145"/>
      <c r="AM104" s="132" t="s">
        <v>602</v>
      </c>
      <c r="AN104" s="132" t="s">
        <v>602</v>
      </c>
      <c r="AO104" s="132" t="s">
        <v>602</v>
      </c>
      <c r="AP104" s="132" t="s">
        <v>602</v>
      </c>
      <c r="AQ104" s="132" t="s">
        <v>602</v>
      </c>
      <c r="AR104" s="135"/>
      <c r="AS104" s="116"/>
      <c r="AT104" s="134">
        <f t="shared" si="18"/>
        <v>0</v>
      </c>
      <c r="AU104" s="134">
        <f t="shared" si="15"/>
        <v>0</v>
      </c>
      <c r="AV104" s="142"/>
      <c r="AW104" s="135"/>
      <c r="AX104" s="135"/>
      <c r="AY104" s="135"/>
      <c r="AZ104" s="135"/>
      <c r="BA104" s="135"/>
      <c r="BB104" s="116"/>
      <c r="BC104" s="113"/>
      <c r="BD104" s="116"/>
      <c r="BE104" s="113"/>
      <c r="BF104" s="116"/>
      <c r="BG104" s="116"/>
      <c r="BH104" s="137">
        <f t="shared" si="16"/>
        <v>100000</v>
      </c>
      <c r="BI104" s="138">
        <f t="shared" si="17"/>
        <v>0</v>
      </c>
      <c r="BJ104" s="155" t="s">
        <v>922</v>
      </c>
      <c r="BK104" s="91"/>
    </row>
    <row r="105" spans="1:63" ht="15.75">
      <c r="A105" s="123">
        <v>500007</v>
      </c>
      <c r="B105" s="126">
        <v>207150</v>
      </c>
      <c r="C105" s="148" t="s">
        <v>925</v>
      </c>
      <c r="D105" s="148" t="s">
        <v>926</v>
      </c>
      <c r="E105" s="125" t="s">
        <v>923</v>
      </c>
      <c r="F105" s="124" t="s">
        <v>924</v>
      </c>
      <c r="G105" s="127" t="s">
        <v>46</v>
      </c>
      <c r="H105" s="149" t="s">
        <v>597</v>
      </c>
      <c r="I105" s="126" t="s">
        <v>609</v>
      </c>
      <c r="J105" s="126" t="s">
        <v>610</v>
      </c>
      <c r="K105" s="128" t="s">
        <v>611</v>
      </c>
      <c r="L105" s="121" t="s">
        <v>637</v>
      </c>
      <c r="M105" s="123" t="s">
        <v>638</v>
      </c>
      <c r="N105" s="129">
        <v>42248</v>
      </c>
      <c r="O105" s="129">
        <v>42460</v>
      </c>
      <c r="P105" s="129">
        <v>43921</v>
      </c>
      <c r="Q105" s="144">
        <v>21000</v>
      </c>
      <c r="R105" s="132">
        <v>21000</v>
      </c>
      <c r="S105" s="132"/>
      <c r="T105" s="132">
        <v>0</v>
      </c>
      <c r="U105" s="132">
        <v>0</v>
      </c>
      <c r="V105" s="132"/>
      <c r="W105" s="132">
        <v>0</v>
      </c>
      <c r="X105" s="132">
        <v>0</v>
      </c>
      <c r="Y105" s="111">
        <v>21000</v>
      </c>
      <c r="Z105" s="133">
        <f t="shared" si="20"/>
        <v>21000</v>
      </c>
      <c r="AA105" s="133">
        <f t="shared" si="21"/>
        <v>0</v>
      </c>
      <c r="AB105" s="141"/>
      <c r="AC105" s="132" t="s">
        <v>602</v>
      </c>
      <c r="AD105" s="132" t="s">
        <v>602</v>
      </c>
      <c r="AE105" s="132" t="s">
        <v>602</v>
      </c>
      <c r="AF105" s="132" t="s">
        <v>602</v>
      </c>
      <c r="AG105" s="132" t="s">
        <v>602</v>
      </c>
      <c r="AH105" s="132"/>
      <c r="AI105" s="111">
        <v>0</v>
      </c>
      <c r="AJ105" s="134">
        <f t="shared" si="19"/>
        <v>0</v>
      </c>
      <c r="AK105" s="134">
        <f t="shared" si="14"/>
        <v>0</v>
      </c>
      <c r="AL105" s="142"/>
      <c r="AM105" s="132">
        <v>0</v>
      </c>
      <c r="AN105" s="132">
        <v>0</v>
      </c>
      <c r="AO105" s="132">
        <v>0</v>
      </c>
      <c r="AP105" s="132">
        <v>0</v>
      </c>
      <c r="AQ105" s="132">
        <v>0</v>
      </c>
      <c r="AR105" s="132">
        <v>0</v>
      </c>
      <c r="AS105" s="116">
        <v>0</v>
      </c>
      <c r="AT105" s="134">
        <f t="shared" ref="AT105:AT136" si="22">SUM(AL105:AR105)</f>
        <v>0</v>
      </c>
      <c r="AU105" s="134">
        <f t="shared" si="15"/>
        <v>0</v>
      </c>
      <c r="AV105" s="142"/>
      <c r="AW105" s="132" t="s">
        <v>602</v>
      </c>
      <c r="AX105" s="132" t="s">
        <v>602</v>
      </c>
      <c r="AY105" s="132" t="s">
        <v>602</v>
      </c>
      <c r="AZ105" s="132" t="s">
        <v>602</v>
      </c>
      <c r="BA105" s="132" t="s">
        <v>602</v>
      </c>
      <c r="BB105" s="116"/>
      <c r="BC105" s="113"/>
      <c r="BD105" s="116"/>
      <c r="BE105" s="113"/>
      <c r="BF105" s="116"/>
      <c r="BG105" s="116"/>
      <c r="BH105" s="137">
        <f t="shared" si="16"/>
        <v>21000</v>
      </c>
      <c r="BI105" s="138">
        <f t="shared" si="17"/>
        <v>0</v>
      </c>
      <c r="BJ105" s="147" t="s">
        <v>844</v>
      </c>
      <c r="BK105" s="91"/>
    </row>
    <row r="106" spans="1:63" ht="15.75">
      <c r="A106" s="123">
        <v>501346</v>
      </c>
      <c r="B106" s="126">
        <v>207150</v>
      </c>
      <c r="C106" s="148" t="s">
        <v>925</v>
      </c>
      <c r="D106" s="148" t="s">
        <v>926</v>
      </c>
      <c r="E106" s="125" t="s">
        <v>923</v>
      </c>
      <c r="F106" s="124" t="s">
        <v>924</v>
      </c>
      <c r="G106" s="127" t="s">
        <v>46</v>
      </c>
      <c r="H106" s="149" t="s">
        <v>628</v>
      </c>
      <c r="I106" s="126" t="s">
        <v>609</v>
      </c>
      <c r="J106" s="126" t="s">
        <v>610</v>
      </c>
      <c r="K106" s="128" t="s">
        <v>611</v>
      </c>
      <c r="L106" s="121" t="s">
        <v>515</v>
      </c>
      <c r="M106" s="143" t="s">
        <v>744</v>
      </c>
      <c r="N106" s="129">
        <v>42614</v>
      </c>
      <c r="O106" s="129">
        <v>43830</v>
      </c>
      <c r="P106" s="129">
        <v>43830</v>
      </c>
      <c r="Q106" s="144">
        <v>138000</v>
      </c>
      <c r="R106" s="150"/>
      <c r="S106" s="132">
        <v>36000</v>
      </c>
      <c r="T106" s="132">
        <v>0</v>
      </c>
      <c r="U106" s="132">
        <v>10000</v>
      </c>
      <c r="V106" s="132"/>
      <c r="W106" s="132">
        <v>0</v>
      </c>
      <c r="X106" s="132"/>
      <c r="Y106" s="111">
        <v>46000</v>
      </c>
      <c r="Z106" s="133">
        <f t="shared" si="20"/>
        <v>46000</v>
      </c>
      <c r="AA106" s="133">
        <f t="shared" si="21"/>
        <v>0</v>
      </c>
      <c r="AB106" s="141"/>
      <c r="AC106" s="132">
        <v>36000</v>
      </c>
      <c r="AD106" s="132">
        <v>0</v>
      </c>
      <c r="AE106" s="132">
        <v>10000</v>
      </c>
      <c r="AF106" s="132">
        <v>0</v>
      </c>
      <c r="AG106" s="132">
        <v>0</v>
      </c>
      <c r="AH106" s="132"/>
      <c r="AI106" s="111">
        <v>46000</v>
      </c>
      <c r="AJ106" s="134">
        <f t="shared" si="19"/>
        <v>46000</v>
      </c>
      <c r="AK106" s="134">
        <f t="shared" si="14"/>
        <v>0</v>
      </c>
      <c r="AL106" s="142"/>
      <c r="AM106" s="132">
        <v>36000</v>
      </c>
      <c r="AN106" s="132">
        <v>0</v>
      </c>
      <c r="AO106" s="132">
        <v>10000</v>
      </c>
      <c r="AP106" s="132">
        <v>0</v>
      </c>
      <c r="AQ106" s="132">
        <v>0</v>
      </c>
      <c r="AR106" s="132">
        <v>0</v>
      </c>
      <c r="AS106" s="116">
        <v>46000</v>
      </c>
      <c r="AT106" s="134">
        <f t="shared" si="22"/>
        <v>46000</v>
      </c>
      <c r="AU106" s="134">
        <f t="shared" si="15"/>
        <v>0</v>
      </c>
      <c r="AV106" s="142"/>
      <c r="AW106" s="135"/>
      <c r="AX106" s="159"/>
      <c r="AY106" s="159"/>
      <c r="AZ106" s="159"/>
      <c r="BA106" s="159"/>
      <c r="BB106" s="116"/>
      <c r="BC106" s="113"/>
      <c r="BD106" s="116"/>
      <c r="BE106" s="113"/>
      <c r="BF106" s="116"/>
      <c r="BG106" s="116"/>
      <c r="BH106" s="137">
        <f t="shared" si="16"/>
        <v>138000</v>
      </c>
      <c r="BI106" s="138">
        <f t="shared" si="17"/>
        <v>0</v>
      </c>
      <c r="BJ106" s="147"/>
      <c r="BK106" s="91"/>
    </row>
    <row r="107" spans="1:63" ht="15.75">
      <c r="A107" s="123">
        <v>502069</v>
      </c>
      <c r="B107" s="126">
        <v>207150</v>
      </c>
      <c r="C107" s="148" t="s">
        <v>925</v>
      </c>
      <c r="D107" s="148" t="s">
        <v>926</v>
      </c>
      <c r="E107" s="125" t="s">
        <v>923</v>
      </c>
      <c r="F107" s="124" t="s">
        <v>924</v>
      </c>
      <c r="G107" s="127" t="s">
        <v>46</v>
      </c>
      <c r="H107" s="149" t="s">
        <v>597</v>
      </c>
      <c r="I107" s="126" t="s">
        <v>609</v>
      </c>
      <c r="J107" s="126" t="s">
        <v>610</v>
      </c>
      <c r="K107" s="128" t="s">
        <v>611</v>
      </c>
      <c r="L107" s="124" t="s">
        <v>521</v>
      </c>
      <c r="M107" s="123" t="s">
        <v>927</v>
      </c>
      <c r="N107" s="129">
        <v>42736</v>
      </c>
      <c r="O107" s="129">
        <v>43465</v>
      </c>
      <c r="P107" s="129">
        <v>43921</v>
      </c>
      <c r="Q107" s="144">
        <v>30000</v>
      </c>
      <c r="R107" s="150"/>
      <c r="S107" s="132">
        <v>15000</v>
      </c>
      <c r="T107" s="132">
        <v>0</v>
      </c>
      <c r="U107" s="132">
        <v>0</v>
      </c>
      <c r="V107" s="132">
        <v>0</v>
      </c>
      <c r="W107" s="132">
        <v>0</v>
      </c>
      <c r="X107" s="132">
        <v>0</v>
      </c>
      <c r="Y107" s="111">
        <v>15000</v>
      </c>
      <c r="Z107" s="133">
        <f t="shared" si="20"/>
        <v>15000</v>
      </c>
      <c r="AA107" s="133">
        <f t="shared" si="21"/>
        <v>0</v>
      </c>
      <c r="AB107" s="141"/>
      <c r="AC107" s="132">
        <v>15000</v>
      </c>
      <c r="AD107" s="132">
        <v>0</v>
      </c>
      <c r="AE107" s="132">
        <v>0</v>
      </c>
      <c r="AF107" s="132">
        <v>0</v>
      </c>
      <c r="AG107" s="132">
        <v>0</v>
      </c>
      <c r="AH107" s="132"/>
      <c r="AI107" s="111">
        <v>15000</v>
      </c>
      <c r="AJ107" s="134">
        <f t="shared" si="19"/>
        <v>15000</v>
      </c>
      <c r="AK107" s="134">
        <f t="shared" si="14"/>
        <v>0</v>
      </c>
      <c r="AL107" s="142"/>
      <c r="AM107" s="132">
        <v>0</v>
      </c>
      <c r="AN107" s="132">
        <v>0</v>
      </c>
      <c r="AO107" s="132">
        <v>0</v>
      </c>
      <c r="AP107" s="132">
        <v>0</v>
      </c>
      <c r="AQ107" s="132">
        <v>0</v>
      </c>
      <c r="AR107" s="132">
        <v>0</v>
      </c>
      <c r="AS107" s="116">
        <v>0</v>
      </c>
      <c r="AT107" s="134">
        <f t="shared" si="22"/>
        <v>0</v>
      </c>
      <c r="AU107" s="134">
        <f t="shared" si="15"/>
        <v>0</v>
      </c>
      <c r="AV107" s="142"/>
      <c r="AW107" s="135"/>
      <c r="AX107" s="135"/>
      <c r="AY107" s="135"/>
      <c r="AZ107" s="135"/>
      <c r="BA107" s="135"/>
      <c r="BB107" s="116"/>
      <c r="BC107" s="113"/>
      <c r="BD107" s="116"/>
      <c r="BE107" s="113"/>
      <c r="BF107" s="116"/>
      <c r="BG107" s="116"/>
      <c r="BH107" s="137">
        <f t="shared" si="16"/>
        <v>30000</v>
      </c>
      <c r="BI107" s="138">
        <f t="shared" si="17"/>
        <v>0</v>
      </c>
      <c r="BJ107" s="126" t="s">
        <v>928</v>
      </c>
      <c r="BK107" s="91"/>
    </row>
    <row r="108" spans="1:63" ht="15.75">
      <c r="A108" s="123">
        <v>501348</v>
      </c>
      <c r="B108" s="126">
        <v>207172</v>
      </c>
      <c r="C108" s="121" t="s">
        <v>931</v>
      </c>
      <c r="D108" s="121" t="s">
        <v>932</v>
      </c>
      <c r="E108" s="125" t="s">
        <v>929</v>
      </c>
      <c r="F108" s="124" t="s">
        <v>930</v>
      </c>
      <c r="G108" s="127" t="s">
        <v>46</v>
      </c>
      <c r="H108" s="123" t="s">
        <v>628</v>
      </c>
      <c r="I108" s="126" t="s">
        <v>609</v>
      </c>
      <c r="J108" s="126" t="s">
        <v>807</v>
      </c>
      <c r="K108" s="128" t="s">
        <v>933</v>
      </c>
      <c r="L108" s="121" t="s">
        <v>515</v>
      </c>
      <c r="M108" s="143" t="s">
        <v>934</v>
      </c>
      <c r="N108" s="129">
        <v>42614</v>
      </c>
      <c r="O108" s="129">
        <v>44286</v>
      </c>
      <c r="P108" s="129">
        <v>44286</v>
      </c>
      <c r="Q108" s="144">
        <v>75000</v>
      </c>
      <c r="R108" s="150"/>
      <c r="S108" s="132">
        <v>23000</v>
      </c>
      <c r="T108" s="132">
        <v>2000</v>
      </c>
      <c r="U108" s="132">
        <v>0</v>
      </c>
      <c r="V108" s="132"/>
      <c r="W108" s="132">
        <v>0</v>
      </c>
      <c r="X108" s="132">
        <v>0</v>
      </c>
      <c r="Y108" s="111">
        <v>25000</v>
      </c>
      <c r="Z108" s="133">
        <f t="shared" si="20"/>
        <v>25000</v>
      </c>
      <c r="AA108" s="133">
        <f t="shared" si="21"/>
        <v>0</v>
      </c>
      <c r="AB108" s="141"/>
      <c r="AC108" s="132">
        <v>23000</v>
      </c>
      <c r="AD108" s="132">
        <v>0</v>
      </c>
      <c r="AE108" s="132">
        <v>2000</v>
      </c>
      <c r="AF108" s="132">
        <v>0</v>
      </c>
      <c r="AG108" s="132">
        <v>0</v>
      </c>
      <c r="AH108" s="132"/>
      <c r="AI108" s="111">
        <v>25000</v>
      </c>
      <c r="AJ108" s="134">
        <f t="shared" si="19"/>
        <v>25000</v>
      </c>
      <c r="AK108" s="134">
        <f t="shared" si="14"/>
        <v>0</v>
      </c>
      <c r="AL108" s="142"/>
      <c r="AM108" s="135">
        <v>23000</v>
      </c>
      <c r="AN108" s="135">
        <v>0</v>
      </c>
      <c r="AO108" s="135">
        <v>2000</v>
      </c>
      <c r="AP108" s="135"/>
      <c r="AQ108" s="135">
        <v>0</v>
      </c>
      <c r="AR108" s="135">
        <v>0</v>
      </c>
      <c r="AS108" s="116">
        <v>25000</v>
      </c>
      <c r="AT108" s="134">
        <f t="shared" si="22"/>
        <v>25000</v>
      </c>
      <c r="AU108" s="134">
        <f t="shared" si="15"/>
        <v>0</v>
      </c>
      <c r="AV108" s="142"/>
      <c r="AW108" s="135"/>
      <c r="AX108" s="135"/>
      <c r="AY108" s="135"/>
      <c r="AZ108" s="135"/>
      <c r="BA108" s="135"/>
      <c r="BB108" s="116"/>
      <c r="BC108" s="113"/>
      <c r="BD108" s="116"/>
      <c r="BE108" s="113"/>
      <c r="BF108" s="116"/>
      <c r="BG108" s="116"/>
      <c r="BH108" s="137">
        <f t="shared" si="16"/>
        <v>75000</v>
      </c>
      <c r="BI108" s="138">
        <f t="shared" si="17"/>
        <v>0</v>
      </c>
      <c r="BJ108" s="147"/>
      <c r="BK108" s="91"/>
    </row>
    <row r="109" spans="1:63" ht="15.75">
      <c r="A109" s="123">
        <v>500463</v>
      </c>
      <c r="B109" s="126">
        <v>207221</v>
      </c>
      <c r="C109" s="121" t="s">
        <v>937</v>
      </c>
      <c r="D109" s="121" t="s">
        <v>938</v>
      </c>
      <c r="E109" s="125" t="s">
        <v>935</v>
      </c>
      <c r="F109" s="124" t="s">
        <v>936</v>
      </c>
      <c r="G109" s="127" t="s">
        <v>46</v>
      </c>
      <c r="H109" s="123" t="s">
        <v>597</v>
      </c>
      <c r="I109" s="126" t="s">
        <v>609</v>
      </c>
      <c r="J109" s="126" t="s">
        <v>939</v>
      </c>
      <c r="K109" s="128" t="s">
        <v>940</v>
      </c>
      <c r="L109" s="124" t="s">
        <v>521</v>
      </c>
      <c r="M109" s="143" t="s">
        <v>661</v>
      </c>
      <c r="N109" s="129">
        <v>42401</v>
      </c>
      <c r="O109" s="129">
        <v>43131</v>
      </c>
      <c r="P109" s="129">
        <v>43131</v>
      </c>
      <c r="Q109" s="144">
        <v>60000</v>
      </c>
      <c r="R109" s="150"/>
      <c r="S109" s="132">
        <v>30000</v>
      </c>
      <c r="T109" s="132">
        <v>0</v>
      </c>
      <c r="U109" s="132">
        <v>0</v>
      </c>
      <c r="V109" s="132">
        <v>0</v>
      </c>
      <c r="W109" s="132">
        <v>0</v>
      </c>
      <c r="X109" s="132">
        <v>0</v>
      </c>
      <c r="Y109" s="111">
        <v>30000</v>
      </c>
      <c r="Z109" s="133">
        <f t="shared" si="20"/>
        <v>30000</v>
      </c>
      <c r="AA109" s="133">
        <f t="shared" si="21"/>
        <v>0</v>
      </c>
      <c r="AB109" s="141"/>
      <c r="AC109" s="132">
        <v>30000</v>
      </c>
      <c r="AD109" s="132">
        <v>0</v>
      </c>
      <c r="AE109" s="132">
        <v>0</v>
      </c>
      <c r="AF109" s="132">
        <v>0</v>
      </c>
      <c r="AG109" s="132">
        <v>0</v>
      </c>
      <c r="AH109" s="132"/>
      <c r="AI109" s="111">
        <v>30000</v>
      </c>
      <c r="AJ109" s="134">
        <f t="shared" si="19"/>
        <v>30000</v>
      </c>
      <c r="AK109" s="134">
        <f t="shared" si="14"/>
        <v>0</v>
      </c>
      <c r="AL109" s="142"/>
      <c r="AM109" s="132">
        <v>0</v>
      </c>
      <c r="AN109" s="132">
        <v>0</v>
      </c>
      <c r="AO109" s="132">
        <v>0</v>
      </c>
      <c r="AP109" s="132">
        <v>0</v>
      </c>
      <c r="AQ109" s="132">
        <v>0</v>
      </c>
      <c r="AR109" s="132">
        <v>0</v>
      </c>
      <c r="AS109" s="116">
        <v>0</v>
      </c>
      <c r="AT109" s="134">
        <f t="shared" si="22"/>
        <v>0</v>
      </c>
      <c r="AU109" s="134">
        <f t="shared" si="15"/>
        <v>0</v>
      </c>
      <c r="AV109" s="142"/>
      <c r="AW109" s="135"/>
      <c r="AX109" s="135"/>
      <c r="AY109" s="135"/>
      <c r="AZ109" s="135"/>
      <c r="BA109" s="135"/>
      <c r="BB109" s="116"/>
      <c r="BC109" s="113"/>
      <c r="BD109" s="116"/>
      <c r="BE109" s="113"/>
      <c r="BF109" s="116"/>
      <c r="BG109" s="116"/>
      <c r="BH109" s="137">
        <f t="shared" si="16"/>
        <v>60000</v>
      </c>
      <c r="BI109" s="138">
        <f t="shared" si="17"/>
        <v>0</v>
      </c>
      <c r="BJ109" s="123" t="s">
        <v>941</v>
      </c>
      <c r="BK109" s="91" t="s">
        <v>942</v>
      </c>
    </row>
    <row r="110" spans="1:63" ht="15.75">
      <c r="A110" s="123">
        <v>501344</v>
      </c>
      <c r="B110" s="126">
        <v>207233</v>
      </c>
      <c r="C110" s="121" t="s">
        <v>944</v>
      </c>
      <c r="D110" s="121" t="s">
        <v>945</v>
      </c>
      <c r="E110" s="125" t="s">
        <v>943</v>
      </c>
      <c r="F110" s="124" t="s">
        <v>203</v>
      </c>
      <c r="G110" s="127" t="s">
        <v>46</v>
      </c>
      <c r="H110" s="123" t="s">
        <v>597</v>
      </c>
      <c r="I110" s="126" t="s">
        <v>609</v>
      </c>
      <c r="J110" s="126" t="s">
        <v>610</v>
      </c>
      <c r="K110" s="128" t="s">
        <v>611</v>
      </c>
      <c r="L110" s="121" t="s">
        <v>515</v>
      </c>
      <c r="M110" s="143" t="s">
        <v>667</v>
      </c>
      <c r="N110" s="129">
        <v>42614</v>
      </c>
      <c r="O110" s="129">
        <v>43708</v>
      </c>
      <c r="P110" s="129">
        <v>43992</v>
      </c>
      <c r="Q110" s="144">
        <v>296250</v>
      </c>
      <c r="R110" s="150"/>
      <c r="S110" s="132">
        <v>32500</v>
      </c>
      <c r="T110" s="132">
        <v>0</v>
      </c>
      <c r="U110" s="132">
        <v>23750</v>
      </c>
      <c r="V110" s="132"/>
      <c r="W110" s="132">
        <v>15000</v>
      </c>
      <c r="X110" s="132"/>
      <c r="Y110" s="111">
        <v>71250</v>
      </c>
      <c r="Z110" s="133">
        <f t="shared" si="20"/>
        <v>71250</v>
      </c>
      <c r="AA110" s="133">
        <f t="shared" si="21"/>
        <v>0</v>
      </c>
      <c r="AB110" s="141"/>
      <c r="AC110" s="132">
        <v>65000</v>
      </c>
      <c r="AD110" s="132">
        <v>0</v>
      </c>
      <c r="AE110" s="132">
        <v>47500</v>
      </c>
      <c r="AF110" s="132">
        <v>0</v>
      </c>
      <c r="AG110" s="132">
        <v>0</v>
      </c>
      <c r="AH110" s="132"/>
      <c r="AI110" s="111">
        <v>112500</v>
      </c>
      <c r="AJ110" s="134">
        <f t="shared" si="19"/>
        <v>112500</v>
      </c>
      <c r="AK110" s="134">
        <f t="shared" si="14"/>
        <v>0</v>
      </c>
      <c r="AL110" s="142"/>
      <c r="AM110" s="132">
        <v>65000</v>
      </c>
      <c r="AN110" s="132">
        <v>0</v>
      </c>
      <c r="AO110" s="132">
        <v>47500</v>
      </c>
      <c r="AP110" s="132">
        <v>0</v>
      </c>
      <c r="AQ110" s="132">
        <v>0</v>
      </c>
      <c r="AR110" s="132">
        <v>0</v>
      </c>
      <c r="AS110" s="116">
        <v>112500</v>
      </c>
      <c r="AT110" s="134">
        <f t="shared" si="22"/>
        <v>112500</v>
      </c>
      <c r="AU110" s="134">
        <f t="shared" si="15"/>
        <v>0</v>
      </c>
      <c r="AV110" s="142"/>
      <c r="AW110" s="135"/>
      <c r="AX110" s="135"/>
      <c r="AY110" s="135"/>
      <c r="AZ110" s="135"/>
      <c r="BA110" s="135"/>
      <c r="BB110" s="116"/>
      <c r="BC110" s="113"/>
      <c r="BD110" s="116"/>
      <c r="BE110" s="113"/>
      <c r="BF110" s="116"/>
      <c r="BG110" s="116"/>
      <c r="BH110" s="137">
        <f t="shared" si="16"/>
        <v>296250</v>
      </c>
      <c r="BI110" s="138">
        <f t="shared" si="17"/>
        <v>0</v>
      </c>
      <c r="BJ110" s="147"/>
      <c r="BK110" s="91"/>
    </row>
    <row r="111" spans="1:63" ht="15.75">
      <c r="A111" s="123">
        <v>502100</v>
      </c>
      <c r="B111" s="126">
        <v>207233</v>
      </c>
      <c r="C111" s="121" t="s">
        <v>944</v>
      </c>
      <c r="D111" s="121" t="s">
        <v>945</v>
      </c>
      <c r="E111" s="125" t="s">
        <v>943</v>
      </c>
      <c r="F111" s="124" t="s">
        <v>203</v>
      </c>
      <c r="G111" s="127" t="s">
        <v>46</v>
      </c>
      <c r="H111" s="123" t="s">
        <v>597</v>
      </c>
      <c r="I111" s="126" t="s">
        <v>609</v>
      </c>
      <c r="J111" s="126" t="s">
        <v>610</v>
      </c>
      <c r="K111" s="128" t="s">
        <v>611</v>
      </c>
      <c r="L111" s="121" t="s">
        <v>652</v>
      </c>
      <c r="M111" s="123" t="s">
        <v>946</v>
      </c>
      <c r="N111" s="129">
        <v>42826</v>
      </c>
      <c r="O111" s="129">
        <v>43190</v>
      </c>
      <c r="P111" s="129">
        <v>43190</v>
      </c>
      <c r="Q111" s="144">
        <v>37500</v>
      </c>
      <c r="R111" s="150"/>
      <c r="S111" s="132">
        <v>18700</v>
      </c>
      <c r="T111" s="132">
        <v>0</v>
      </c>
      <c r="U111" s="132">
        <v>18350</v>
      </c>
      <c r="V111" s="132"/>
      <c r="W111" s="132"/>
      <c r="X111" s="132">
        <v>450</v>
      </c>
      <c r="Y111" s="111">
        <v>37500</v>
      </c>
      <c r="Z111" s="133">
        <f t="shared" si="20"/>
        <v>37500</v>
      </c>
      <c r="AA111" s="133">
        <f t="shared" si="21"/>
        <v>0</v>
      </c>
      <c r="AB111" s="141"/>
      <c r="AC111" s="132" t="s">
        <v>602</v>
      </c>
      <c r="AD111" s="132" t="s">
        <v>602</v>
      </c>
      <c r="AE111" s="132" t="s">
        <v>602</v>
      </c>
      <c r="AF111" s="132" t="s">
        <v>602</v>
      </c>
      <c r="AG111" s="132" t="s">
        <v>602</v>
      </c>
      <c r="AH111" s="132"/>
      <c r="AI111" s="111">
        <v>0</v>
      </c>
      <c r="AJ111" s="134">
        <f t="shared" si="19"/>
        <v>0</v>
      </c>
      <c r="AK111" s="134">
        <f t="shared" si="14"/>
        <v>0</v>
      </c>
      <c r="AL111" s="142"/>
      <c r="AM111" s="132">
        <v>0</v>
      </c>
      <c r="AN111" s="132">
        <v>0</v>
      </c>
      <c r="AO111" s="132">
        <v>0</v>
      </c>
      <c r="AP111" s="132">
        <v>0</v>
      </c>
      <c r="AQ111" s="132">
        <v>0</v>
      </c>
      <c r="AR111" s="132">
        <v>0</v>
      </c>
      <c r="AS111" s="116">
        <v>0</v>
      </c>
      <c r="AT111" s="134">
        <f t="shared" si="22"/>
        <v>0</v>
      </c>
      <c r="AU111" s="134">
        <f t="shared" si="15"/>
        <v>0</v>
      </c>
      <c r="AV111" s="142"/>
      <c r="AW111" s="166"/>
      <c r="AX111" s="166"/>
      <c r="AY111" s="166"/>
      <c r="AZ111" s="166"/>
      <c r="BA111" s="166"/>
      <c r="BB111" s="116"/>
      <c r="BC111" s="113"/>
      <c r="BD111" s="116"/>
      <c r="BE111" s="113"/>
      <c r="BF111" s="116"/>
      <c r="BG111" s="116"/>
      <c r="BH111" s="137">
        <f t="shared" si="16"/>
        <v>37500</v>
      </c>
      <c r="BI111" s="138">
        <f t="shared" si="17"/>
        <v>0</v>
      </c>
      <c r="BJ111" s="126" t="s">
        <v>947</v>
      </c>
      <c r="BK111" s="91"/>
    </row>
    <row r="112" spans="1:63" ht="15.75">
      <c r="A112" s="152">
        <v>506451</v>
      </c>
      <c r="B112" s="126">
        <v>207233</v>
      </c>
      <c r="C112" s="123" t="s">
        <v>944</v>
      </c>
      <c r="D112" s="121" t="s">
        <v>945</v>
      </c>
      <c r="E112" s="125" t="s">
        <v>943</v>
      </c>
      <c r="F112" s="124" t="s">
        <v>203</v>
      </c>
      <c r="G112" s="127" t="s">
        <v>46</v>
      </c>
      <c r="H112" s="126" t="s">
        <v>597</v>
      </c>
      <c r="I112" s="126" t="s">
        <v>609</v>
      </c>
      <c r="J112" s="126" t="s">
        <v>610</v>
      </c>
      <c r="K112" s="128" t="s">
        <v>611</v>
      </c>
      <c r="L112" s="124" t="s">
        <v>517</v>
      </c>
      <c r="M112" s="126" t="s">
        <v>948</v>
      </c>
      <c r="N112" s="129">
        <v>43556</v>
      </c>
      <c r="O112" s="129">
        <v>44651</v>
      </c>
      <c r="P112" s="129">
        <v>44651</v>
      </c>
      <c r="Q112" s="144">
        <f>50000*2</f>
        <v>100000</v>
      </c>
      <c r="R112" s="150"/>
      <c r="S112" s="132">
        <v>50000</v>
      </c>
      <c r="T112" s="132"/>
      <c r="U112" s="132"/>
      <c r="V112" s="132"/>
      <c r="W112" s="132"/>
      <c r="X112" s="132"/>
      <c r="Y112" s="111">
        <v>50000</v>
      </c>
      <c r="Z112" s="133">
        <f t="shared" si="20"/>
        <v>50000</v>
      </c>
      <c r="AA112" s="133">
        <f t="shared" si="21"/>
        <v>0</v>
      </c>
      <c r="AB112" s="141"/>
      <c r="AC112" s="159">
        <v>50000</v>
      </c>
      <c r="AD112" s="159">
        <v>0</v>
      </c>
      <c r="AE112" s="159">
        <v>0</v>
      </c>
      <c r="AF112" s="159">
        <v>0</v>
      </c>
      <c r="AG112" s="159">
        <v>0</v>
      </c>
      <c r="AH112" s="159"/>
      <c r="AI112" s="111">
        <v>50000</v>
      </c>
      <c r="AJ112" s="134">
        <f t="shared" si="19"/>
        <v>50000</v>
      </c>
      <c r="AK112" s="134">
        <f t="shared" si="14"/>
        <v>0</v>
      </c>
      <c r="AL112" s="121"/>
      <c r="AM112" s="153">
        <v>50000</v>
      </c>
      <c r="AN112" s="153">
        <v>0</v>
      </c>
      <c r="AO112" s="153">
        <v>0</v>
      </c>
      <c r="AP112" s="153">
        <v>0</v>
      </c>
      <c r="AQ112" s="153">
        <v>0</v>
      </c>
      <c r="AR112" s="153"/>
      <c r="AS112" s="116">
        <v>50000</v>
      </c>
      <c r="AT112" s="134">
        <f t="shared" si="22"/>
        <v>50000</v>
      </c>
      <c r="AU112" s="134">
        <f t="shared" si="15"/>
        <v>0</v>
      </c>
      <c r="AV112" s="121"/>
      <c r="AW112" s="153"/>
      <c r="AX112" s="153"/>
      <c r="AY112" s="153"/>
      <c r="AZ112" s="153"/>
      <c r="BA112" s="153"/>
      <c r="BB112" s="154"/>
      <c r="BC112" s="99"/>
      <c r="BD112" s="154"/>
      <c r="BE112" s="99"/>
      <c r="BF112" s="154"/>
      <c r="BG112" s="154"/>
      <c r="BH112" s="137">
        <f t="shared" si="16"/>
        <v>150000</v>
      </c>
      <c r="BI112" s="138">
        <f t="shared" si="17"/>
        <v>50000</v>
      </c>
      <c r="BJ112" s="155"/>
      <c r="BK112" s="91"/>
    </row>
    <row r="113" spans="1:63" ht="15.75">
      <c r="A113" s="123">
        <v>507638</v>
      </c>
      <c r="B113" s="126">
        <v>207233</v>
      </c>
      <c r="C113" s="124" t="s">
        <v>944</v>
      </c>
      <c r="D113" s="124" t="s">
        <v>945</v>
      </c>
      <c r="E113" s="125" t="s">
        <v>943</v>
      </c>
      <c r="F113" s="124" t="s">
        <v>203</v>
      </c>
      <c r="G113" s="127" t="s">
        <v>46</v>
      </c>
      <c r="H113" s="126" t="s">
        <v>628</v>
      </c>
      <c r="I113" s="126" t="s">
        <v>609</v>
      </c>
      <c r="J113" s="126" t="s">
        <v>610</v>
      </c>
      <c r="K113" s="128" t="s">
        <v>611</v>
      </c>
      <c r="L113" s="121" t="s">
        <v>519</v>
      </c>
      <c r="M113" s="123" t="s">
        <v>791</v>
      </c>
      <c r="N113" s="129">
        <v>43709</v>
      </c>
      <c r="O113" s="129">
        <v>44530</v>
      </c>
      <c r="P113" s="129">
        <v>44530</v>
      </c>
      <c r="Q113" s="130">
        <f>133500+133250</f>
        <v>266750</v>
      </c>
      <c r="R113" s="113"/>
      <c r="S113" s="132">
        <v>80000</v>
      </c>
      <c r="T113" s="132">
        <v>1000</v>
      </c>
      <c r="U113" s="132">
        <v>36500</v>
      </c>
      <c r="V113" s="132"/>
      <c r="W113" s="132">
        <v>15000</v>
      </c>
      <c r="X113" s="132">
        <v>1000</v>
      </c>
      <c r="Y113" s="111">
        <v>133500</v>
      </c>
      <c r="Z113" s="133">
        <f t="shared" si="20"/>
        <v>133500</v>
      </c>
      <c r="AA113" s="133">
        <f t="shared" si="21"/>
        <v>0</v>
      </c>
      <c r="AB113" s="141"/>
      <c r="AC113" s="132">
        <v>80000</v>
      </c>
      <c r="AD113" s="132">
        <v>1000</v>
      </c>
      <c r="AE113" s="132">
        <v>36250</v>
      </c>
      <c r="AF113" s="132"/>
      <c r="AG113" s="132">
        <v>15000</v>
      </c>
      <c r="AH113" s="132">
        <v>1000</v>
      </c>
      <c r="AI113" s="111">
        <v>133250</v>
      </c>
      <c r="AJ113" s="134">
        <f t="shared" si="19"/>
        <v>133250</v>
      </c>
      <c r="AK113" s="134">
        <f t="shared" si="14"/>
        <v>0</v>
      </c>
      <c r="AL113" s="142"/>
      <c r="AM113" s="132">
        <v>80000</v>
      </c>
      <c r="AN113" s="132">
        <v>1000</v>
      </c>
      <c r="AO113" s="132">
        <v>36250</v>
      </c>
      <c r="AP113" s="132">
        <v>0</v>
      </c>
      <c r="AQ113" s="132">
        <v>15000</v>
      </c>
      <c r="AR113" s="132">
        <v>1000</v>
      </c>
      <c r="AS113" s="116">
        <f>SUM(AM113:AR113)</f>
        <v>133250</v>
      </c>
      <c r="AT113" s="134">
        <f t="shared" si="22"/>
        <v>133250</v>
      </c>
      <c r="AU113" s="134">
        <f t="shared" si="15"/>
        <v>0</v>
      </c>
      <c r="AV113" s="142"/>
      <c r="AW113" s="135"/>
      <c r="AX113" s="135"/>
      <c r="AY113" s="135"/>
      <c r="AZ113" s="135"/>
      <c r="BA113" s="135"/>
      <c r="BB113" s="116"/>
      <c r="BC113" s="113"/>
      <c r="BD113" s="116"/>
      <c r="BE113" s="113"/>
      <c r="BF113" s="116"/>
      <c r="BG113" s="116"/>
      <c r="BH113" s="137">
        <f t="shared" si="16"/>
        <v>400000</v>
      </c>
      <c r="BI113" s="138">
        <f t="shared" si="17"/>
        <v>133250</v>
      </c>
      <c r="BJ113" s="126"/>
      <c r="BK113" s="91"/>
    </row>
    <row r="114" spans="1:63" ht="15.75">
      <c r="A114" s="123">
        <v>509653</v>
      </c>
      <c r="B114" s="163">
        <v>207233</v>
      </c>
      <c r="C114" s="148" t="s">
        <v>944</v>
      </c>
      <c r="D114" s="148" t="s">
        <v>945</v>
      </c>
      <c r="E114" s="125" t="s">
        <v>943</v>
      </c>
      <c r="F114" s="183" t="s">
        <v>203</v>
      </c>
      <c r="G114" s="127" t="s">
        <v>46</v>
      </c>
      <c r="H114" s="164" t="s">
        <v>628</v>
      </c>
      <c r="I114" s="126" t="s">
        <v>609</v>
      </c>
      <c r="J114" s="126" t="s">
        <v>610</v>
      </c>
      <c r="K114" s="128" t="s">
        <v>611</v>
      </c>
      <c r="L114" s="121" t="s">
        <v>19</v>
      </c>
      <c r="M114" s="123" t="s">
        <v>949</v>
      </c>
      <c r="N114" s="129">
        <v>44044</v>
      </c>
      <c r="O114" s="129">
        <v>44408</v>
      </c>
      <c r="P114" s="129">
        <v>44408</v>
      </c>
      <c r="Q114" s="130">
        <v>10000</v>
      </c>
      <c r="R114" s="113"/>
      <c r="S114" s="132">
        <v>10000</v>
      </c>
      <c r="T114" s="132">
        <v>0</v>
      </c>
      <c r="U114" s="132">
        <v>0</v>
      </c>
      <c r="V114" s="132">
        <v>0</v>
      </c>
      <c r="W114" s="132">
        <v>0</v>
      </c>
      <c r="X114" s="132">
        <v>0</v>
      </c>
      <c r="Y114" s="111">
        <v>10000</v>
      </c>
      <c r="Z114" s="133">
        <f t="shared" si="20"/>
        <v>10000</v>
      </c>
      <c r="AA114" s="133">
        <f t="shared" si="21"/>
        <v>0</v>
      </c>
      <c r="AB114" s="141"/>
      <c r="AC114" s="132">
        <v>10000</v>
      </c>
      <c r="AD114" s="132">
        <v>0</v>
      </c>
      <c r="AE114" s="132">
        <v>0</v>
      </c>
      <c r="AF114" s="132">
        <v>0</v>
      </c>
      <c r="AG114" s="132">
        <v>0</v>
      </c>
      <c r="AH114" s="132">
        <v>0</v>
      </c>
      <c r="AI114" s="111">
        <v>10000</v>
      </c>
      <c r="AJ114" s="134">
        <f t="shared" si="19"/>
        <v>10000</v>
      </c>
      <c r="AK114" s="134">
        <f t="shared" si="14"/>
        <v>0</v>
      </c>
      <c r="AL114" s="142"/>
      <c r="AM114" s="132">
        <v>0</v>
      </c>
      <c r="AN114" s="132">
        <v>0</v>
      </c>
      <c r="AO114" s="132">
        <v>0</v>
      </c>
      <c r="AP114" s="132">
        <v>0</v>
      </c>
      <c r="AQ114" s="132">
        <v>0</v>
      </c>
      <c r="AR114" s="132">
        <v>0</v>
      </c>
      <c r="AS114" s="116">
        <v>0</v>
      </c>
      <c r="AT114" s="134">
        <f t="shared" si="22"/>
        <v>0</v>
      </c>
      <c r="AU114" s="134">
        <f t="shared" si="15"/>
        <v>0</v>
      </c>
      <c r="AV114" s="142"/>
      <c r="AW114" s="135"/>
      <c r="AX114" s="135"/>
      <c r="AY114" s="135"/>
      <c r="AZ114" s="135"/>
      <c r="BA114" s="135"/>
      <c r="BB114" s="116"/>
      <c r="BC114" s="113"/>
      <c r="BD114" s="116"/>
      <c r="BE114" s="113"/>
      <c r="BF114" s="116"/>
      <c r="BG114" s="116"/>
      <c r="BH114" s="137">
        <f t="shared" si="16"/>
        <v>20000</v>
      </c>
      <c r="BI114" s="138">
        <f t="shared" si="17"/>
        <v>10000</v>
      </c>
      <c r="BJ114" s="126"/>
      <c r="BK114" s="91"/>
    </row>
    <row r="115" spans="1:63" ht="15.75">
      <c r="A115" s="123">
        <v>501334</v>
      </c>
      <c r="B115" s="126">
        <v>207237</v>
      </c>
      <c r="C115" s="121" t="s">
        <v>952</v>
      </c>
      <c r="D115" s="121" t="s">
        <v>953</v>
      </c>
      <c r="E115" s="125" t="s">
        <v>950</v>
      </c>
      <c r="F115" s="124" t="s">
        <v>951</v>
      </c>
      <c r="G115" s="127" t="s">
        <v>53</v>
      </c>
      <c r="H115" s="123" t="s">
        <v>628</v>
      </c>
      <c r="I115" s="126" t="s">
        <v>598</v>
      </c>
      <c r="J115" s="126" t="s">
        <v>730</v>
      </c>
      <c r="K115" s="128" t="s">
        <v>735</v>
      </c>
      <c r="L115" s="121" t="s">
        <v>515</v>
      </c>
      <c r="M115" s="123" t="s">
        <v>840</v>
      </c>
      <c r="N115" s="129">
        <v>42614</v>
      </c>
      <c r="O115" s="129">
        <v>43708</v>
      </c>
      <c r="P115" s="129">
        <v>44144</v>
      </c>
      <c r="Q115" s="144">
        <v>492375</v>
      </c>
      <c r="R115" s="150"/>
      <c r="S115" s="132">
        <v>118000</v>
      </c>
      <c r="T115" s="132">
        <v>0</v>
      </c>
      <c r="U115" s="132">
        <v>46125</v>
      </c>
      <c r="V115" s="132"/>
      <c r="W115" s="132">
        <v>0</v>
      </c>
      <c r="X115" s="132">
        <v>0</v>
      </c>
      <c r="Y115" s="111">
        <v>164125</v>
      </c>
      <c r="Z115" s="133">
        <f t="shared" si="20"/>
        <v>164125</v>
      </c>
      <c r="AA115" s="133">
        <f t="shared" si="21"/>
        <v>0</v>
      </c>
      <c r="AB115" s="141"/>
      <c r="AC115" s="132">
        <v>118000</v>
      </c>
      <c r="AD115" s="132">
        <v>0</v>
      </c>
      <c r="AE115" s="132">
        <v>46125</v>
      </c>
      <c r="AF115" s="132">
        <v>0</v>
      </c>
      <c r="AG115" s="132">
        <v>0</v>
      </c>
      <c r="AH115" s="132"/>
      <c r="AI115" s="111">
        <v>164125</v>
      </c>
      <c r="AJ115" s="134">
        <f t="shared" si="19"/>
        <v>164125</v>
      </c>
      <c r="AK115" s="134">
        <f t="shared" si="14"/>
        <v>0</v>
      </c>
      <c r="AL115" s="142"/>
      <c r="AM115" s="135">
        <v>118000</v>
      </c>
      <c r="AN115" s="135">
        <v>0</v>
      </c>
      <c r="AO115" s="135">
        <v>46125</v>
      </c>
      <c r="AP115" s="135"/>
      <c r="AQ115" s="135">
        <v>0</v>
      </c>
      <c r="AR115" s="135">
        <v>0</v>
      </c>
      <c r="AS115" s="116">
        <v>164125</v>
      </c>
      <c r="AT115" s="134">
        <f t="shared" si="22"/>
        <v>164125</v>
      </c>
      <c r="AU115" s="134">
        <f t="shared" si="15"/>
        <v>0</v>
      </c>
      <c r="AV115" s="142"/>
      <c r="AW115" s="135"/>
      <c r="AX115" s="135"/>
      <c r="AY115" s="135"/>
      <c r="AZ115" s="135"/>
      <c r="BA115" s="135"/>
      <c r="BB115" s="116"/>
      <c r="BC115" s="113"/>
      <c r="BD115" s="116"/>
      <c r="BE115" s="113"/>
      <c r="BF115" s="116"/>
      <c r="BG115" s="116"/>
      <c r="BH115" s="137">
        <f t="shared" si="16"/>
        <v>492375</v>
      </c>
      <c r="BI115" s="138">
        <f t="shared" si="17"/>
        <v>0</v>
      </c>
      <c r="BJ115" s="147"/>
      <c r="BK115" s="91"/>
    </row>
    <row r="116" spans="1:63" ht="15.75">
      <c r="A116" s="123">
        <v>506754</v>
      </c>
      <c r="B116" s="123">
        <v>207378</v>
      </c>
      <c r="C116" s="123" t="s">
        <v>956</v>
      </c>
      <c r="D116" s="121" t="s">
        <v>957</v>
      </c>
      <c r="E116" s="125" t="s">
        <v>954</v>
      </c>
      <c r="F116" s="124" t="s">
        <v>955</v>
      </c>
      <c r="G116" s="127" t="s">
        <v>46</v>
      </c>
      <c r="H116" s="126" t="s">
        <v>597</v>
      </c>
      <c r="I116" s="126" t="s">
        <v>609</v>
      </c>
      <c r="J116" s="126" t="s">
        <v>958</v>
      </c>
      <c r="K116" s="128" t="s">
        <v>959</v>
      </c>
      <c r="L116" s="121" t="s">
        <v>19</v>
      </c>
      <c r="M116" s="123" t="s">
        <v>790</v>
      </c>
      <c r="N116" s="129">
        <v>43556</v>
      </c>
      <c r="O116" s="129">
        <v>43921</v>
      </c>
      <c r="P116" s="129">
        <v>43921</v>
      </c>
      <c r="Q116" s="144">
        <v>37500</v>
      </c>
      <c r="R116" s="150"/>
      <c r="S116" s="132">
        <v>37500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11">
        <v>37500</v>
      </c>
      <c r="Z116" s="133">
        <f t="shared" si="20"/>
        <v>37500</v>
      </c>
      <c r="AA116" s="133">
        <f t="shared" si="21"/>
        <v>0</v>
      </c>
      <c r="AB116" s="141"/>
      <c r="AC116" s="132" t="s">
        <v>602</v>
      </c>
      <c r="AD116" s="132" t="s">
        <v>602</v>
      </c>
      <c r="AE116" s="132" t="s">
        <v>602</v>
      </c>
      <c r="AF116" s="132" t="s">
        <v>602</v>
      </c>
      <c r="AG116" s="132" t="s">
        <v>602</v>
      </c>
      <c r="AH116" s="159"/>
      <c r="AI116" s="111"/>
      <c r="AJ116" s="134">
        <f t="shared" si="19"/>
        <v>0</v>
      </c>
      <c r="AK116" s="134">
        <f t="shared" si="14"/>
        <v>0</v>
      </c>
      <c r="AL116" s="145"/>
      <c r="AM116" s="132" t="s">
        <v>602</v>
      </c>
      <c r="AN116" s="132" t="s">
        <v>602</v>
      </c>
      <c r="AO116" s="132" t="s">
        <v>602</v>
      </c>
      <c r="AP116" s="132" t="s">
        <v>602</v>
      </c>
      <c r="AQ116" s="132" t="s">
        <v>602</v>
      </c>
      <c r="AR116" s="153"/>
      <c r="AS116" s="116"/>
      <c r="AT116" s="134">
        <f t="shared" si="22"/>
        <v>0</v>
      </c>
      <c r="AU116" s="134">
        <f t="shared" si="15"/>
        <v>0</v>
      </c>
      <c r="AV116" s="121"/>
      <c r="AW116" s="153"/>
      <c r="AX116" s="153"/>
      <c r="AY116" s="153"/>
      <c r="AZ116" s="153"/>
      <c r="BA116" s="153"/>
      <c r="BB116" s="154"/>
      <c r="BC116" s="99"/>
      <c r="BD116" s="154"/>
      <c r="BE116" s="99"/>
      <c r="BF116" s="154"/>
      <c r="BG116" s="154"/>
      <c r="BH116" s="137">
        <f t="shared" si="16"/>
        <v>37500</v>
      </c>
      <c r="BI116" s="138">
        <f t="shared" si="17"/>
        <v>0</v>
      </c>
      <c r="BJ116" s="155"/>
      <c r="BK116" s="91"/>
    </row>
    <row r="117" spans="1:63" ht="15.75">
      <c r="A117" s="123">
        <v>501333</v>
      </c>
      <c r="B117" s="126">
        <v>207444</v>
      </c>
      <c r="C117" s="121" t="s">
        <v>961</v>
      </c>
      <c r="D117" s="121" t="s">
        <v>962</v>
      </c>
      <c r="E117" s="125" t="s">
        <v>960</v>
      </c>
      <c r="F117" s="124" t="s">
        <v>99</v>
      </c>
      <c r="G117" s="127" t="s">
        <v>46</v>
      </c>
      <c r="H117" s="123" t="s">
        <v>628</v>
      </c>
      <c r="I117" s="123" t="s">
        <v>703</v>
      </c>
      <c r="J117" s="126" t="s">
        <v>963</v>
      </c>
      <c r="K117" s="128" t="s">
        <v>964</v>
      </c>
      <c r="L117" s="121" t="s">
        <v>515</v>
      </c>
      <c r="M117" s="143" t="s">
        <v>797</v>
      </c>
      <c r="N117" s="129">
        <v>42614</v>
      </c>
      <c r="O117" s="129">
        <v>43830</v>
      </c>
      <c r="P117" s="129">
        <v>44144</v>
      </c>
      <c r="Q117" s="144">
        <f>180000-169.84</f>
        <v>179830.16</v>
      </c>
      <c r="R117" s="150"/>
      <c r="S117" s="132">
        <v>60000</v>
      </c>
      <c r="T117" s="132">
        <v>0</v>
      </c>
      <c r="U117" s="132">
        <v>0</v>
      </c>
      <c r="V117" s="132"/>
      <c r="W117" s="132">
        <v>0</v>
      </c>
      <c r="X117" s="132">
        <v>0</v>
      </c>
      <c r="Y117" s="111">
        <v>60000</v>
      </c>
      <c r="Z117" s="133">
        <f t="shared" si="20"/>
        <v>60000</v>
      </c>
      <c r="AA117" s="133">
        <f t="shared" si="21"/>
        <v>0</v>
      </c>
      <c r="AB117" s="141"/>
      <c r="AC117" s="132">
        <v>60000</v>
      </c>
      <c r="AD117" s="132">
        <v>0</v>
      </c>
      <c r="AE117" s="132">
        <v>0</v>
      </c>
      <c r="AF117" s="132">
        <v>0</v>
      </c>
      <c r="AG117" s="132">
        <v>0</v>
      </c>
      <c r="AH117" s="132"/>
      <c r="AI117" s="111">
        <v>60000</v>
      </c>
      <c r="AJ117" s="134">
        <f t="shared" si="19"/>
        <v>60000</v>
      </c>
      <c r="AK117" s="134">
        <f t="shared" si="14"/>
        <v>0</v>
      </c>
      <c r="AL117" s="142"/>
      <c r="AM117" s="135">
        <f>60000-169.84</f>
        <v>59830.16</v>
      </c>
      <c r="AN117" s="132">
        <v>0</v>
      </c>
      <c r="AO117" s="132">
        <v>0</v>
      </c>
      <c r="AP117" s="132">
        <v>0</v>
      </c>
      <c r="AQ117" s="132">
        <v>0</v>
      </c>
      <c r="AR117" s="132">
        <v>0</v>
      </c>
      <c r="AS117" s="116">
        <v>59830.16</v>
      </c>
      <c r="AT117" s="134">
        <f t="shared" si="22"/>
        <v>59830.16</v>
      </c>
      <c r="AU117" s="134">
        <f t="shared" si="15"/>
        <v>0</v>
      </c>
      <c r="AV117" s="142"/>
      <c r="AW117" s="135"/>
      <c r="AX117" s="135"/>
      <c r="AY117" s="135"/>
      <c r="AZ117" s="135"/>
      <c r="BA117" s="135"/>
      <c r="BB117" s="116"/>
      <c r="BC117" s="113"/>
      <c r="BD117" s="116"/>
      <c r="BE117" s="113"/>
      <c r="BF117" s="116"/>
      <c r="BG117" s="116"/>
      <c r="BH117" s="137">
        <f t="shared" si="16"/>
        <v>179830.16</v>
      </c>
      <c r="BI117" s="138">
        <f t="shared" si="17"/>
        <v>0</v>
      </c>
      <c r="BJ117" s="147"/>
      <c r="BK117" s="91"/>
    </row>
    <row r="118" spans="1:63" ht="15.75">
      <c r="A118" s="123">
        <v>507638</v>
      </c>
      <c r="B118" s="126">
        <v>207444</v>
      </c>
      <c r="C118" s="124" t="s">
        <v>961</v>
      </c>
      <c r="D118" s="121" t="s">
        <v>962</v>
      </c>
      <c r="E118" s="125" t="s">
        <v>960</v>
      </c>
      <c r="F118" s="124" t="s">
        <v>99</v>
      </c>
      <c r="G118" s="127" t="s">
        <v>46</v>
      </c>
      <c r="H118" s="126" t="s">
        <v>628</v>
      </c>
      <c r="I118" s="123" t="s">
        <v>703</v>
      </c>
      <c r="J118" s="126" t="s">
        <v>963</v>
      </c>
      <c r="K118" s="128" t="s">
        <v>964</v>
      </c>
      <c r="L118" s="121" t="s">
        <v>519</v>
      </c>
      <c r="M118" s="123" t="s">
        <v>791</v>
      </c>
      <c r="N118" s="129">
        <v>43709</v>
      </c>
      <c r="O118" s="129">
        <v>44530</v>
      </c>
      <c r="P118" s="129">
        <v>44530</v>
      </c>
      <c r="Q118" s="130">
        <f>100000+100000</f>
        <v>200000</v>
      </c>
      <c r="R118" s="113"/>
      <c r="S118" s="132">
        <v>100000</v>
      </c>
      <c r="T118" s="132"/>
      <c r="U118" s="132"/>
      <c r="V118" s="132"/>
      <c r="W118" s="132"/>
      <c r="X118" s="132"/>
      <c r="Y118" s="111">
        <v>100000</v>
      </c>
      <c r="Z118" s="133">
        <f t="shared" si="20"/>
        <v>100000</v>
      </c>
      <c r="AA118" s="133">
        <f t="shared" si="21"/>
        <v>0</v>
      </c>
      <c r="AB118" s="141"/>
      <c r="AC118" s="132">
        <v>100000</v>
      </c>
      <c r="AD118" s="132">
        <v>0</v>
      </c>
      <c r="AE118" s="132">
        <v>0</v>
      </c>
      <c r="AF118" s="132">
        <v>0</v>
      </c>
      <c r="AG118" s="132">
        <v>0</v>
      </c>
      <c r="AH118" s="132">
        <v>0</v>
      </c>
      <c r="AI118" s="111">
        <v>100000</v>
      </c>
      <c r="AJ118" s="134">
        <f t="shared" si="19"/>
        <v>100000</v>
      </c>
      <c r="AK118" s="134">
        <f t="shared" si="14"/>
        <v>0</v>
      </c>
      <c r="AL118" s="142"/>
      <c r="AM118" s="132">
        <v>110000</v>
      </c>
      <c r="AN118" s="135">
        <v>0</v>
      </c>
      <c r="AO118" s="135">
        <v>0</v>
      </c>
      <c r="AP118" s="135">
        <v>0</v>
      </c>
      <c r="AQ118" s="135"/>
      <c r="AR118" s="135"/>
      <c r="AS118" s="116">
        <f>SUM(AM118:AR118)</f>
        <v>110000</v>
      </c>
      <c r="AT118" s="134">
        <f t="shared" si="22"/>
        <v>110000</v>
      </c>
      <c r="AU118" s="134">
        <f t="shared" si="15"/>
        <v>0</v>
      </c>
      <c r="AV118" s="142"/>
      <c r="AW118" s="135"/>
      <c r="AX118" s="135"/>
      <c r="AY118" s="135"/>
      <c r="AZ118" s="135"/>
      <c r="BA118" s="135"/>
      <c r="BB118" s="116"/>
      <c r="BC118" s="113"/>
      <c r="BD118" s="116"/>
      <c r="BE118" s="113"/>
      <c r="BF118" s="116"/>
      <c r="BG118" s="116"/>
      <c r="BH118" s="137">
        <f t="shared" si="16"/>
        <v>310000</v>
      </c>
      <c r="BI118" s="138">
        <f t="shared" si="17"/>
        <v>110000</v>
      </c>
      <c r="BJ118" s="126"/>
      <c r="BK118" s="91"/>
    </row>
    <row r="119" spans="1:63" ht="15.75">
      <c r="A119" s="123">
        <v>507778</v>
      </c>
      <c r="B119" s="126">
        <v>207444</v>
      </c>
      <c r="C119" s="121" t="s">
        <v>961</v>
      </c>
      <c r="D119" s="121" t="s">
        <v>962</v>
      </c>
      <c r="E119" s="125" t="s">
        <v>960</v>
      </c>
      <c r="F119" s="124" t="s">
        <v>99</v>
      </c>
      <c r="G119" s="127" t="s">
        <v>46</v>
      </c>
      <c r="H119" s="123" t="s">
        <v>628</v>
      </c>
      <c r="I119" s="123" t="s">
        <v>703</v>
      </c>
      <c r="J119" s="126" t="s">
        <v>963</v>
      </c>
      <c r="K119" s="128" t="s">
        <v>964</v>
      </c>
      <c r="L119" s="121" t="s">
        <v>519</v>
      </c>
      <c r="M119" s="126" t="s">
        <v>965</v>
      </c>
      <c r="N119" s="129">
        <v>43709</v>
      </c>
      <c r="O119" s="129">
        <v>44530</v>
      </c>
      <c r="P119" s="129">
        <v>44530</v>
      </c>
      <c r="Q119" s="130">
        <f>50000+50000</f>
        <v>100000</v>
      </c>
      <c r="R119" s="113"/>
      <c r="S119" s="132">
        <v>45000</v>
      </c>
      <c r="T119" s="132">
        <v>5000</v>
      </c>
      <c r="U119" s="132">
        <v>0</v>
      </c>
      <c r="V119" s="132">
        <v>0</v>
      </c>
      <c r="W119" s="132">
        <v>0</v>
      </c>
      <c r="X119" s="132">
        <v>0</v>
      </c>
      <c r="Y119" s="111">
        <v>50000</v>
      </c>
      <c r="Z119" s="133">
        <f t="shared" si="20"/>
        <v>50000</v>
      </c>
      <c r="AA119" s="133">
        <f t="shared" si="21"/>
        <v>0</v>
      </c>
      <c r="AB119" s="141"/>
      <c r="AC119" s="132">
        <v>45000</v>
      </c>
      <c r="AD119" s="132">
        <v>5000</v>
      </c>
      <c r="AE119" s="132">
        <v>0</v>
      </c>
      <c r="AF119" s="132">
        <v>0</v>
      </c>
      <c r="AG119" s="132">
        <v>0</v>
      </c>
      <c r="AH119" s="132">
        <v>0</v>
      </c>
      <c r="AI119" s="111">
        <v>50000</v>
      </c>
      <c r="AJ119" s="134">
        <f t="shared" si="19"/>
        <v>50000</v>
      </c>
      <c r="AK119" s="134">
        <f t="shared" si="14"/>
        <v>0</v>
      </c>
      <c r="AL119" s="142"/>
      <c r="AM119" s="132">
        <v>45000</v>
      </c>
      <c r="AN119" s="132">
        <v>5000</v>
      </c>
      <c r="AO119" s="132">
        <v>0</v>
      </c>
      <c r="AP119" s="132">
        <v>0</v>
      </c>
      <c r="AQ119" s="132">
        <v>0</v>
      </c>
      <c r="AR119" s="132">
        <v>0</v>
      </c>
      <c r="AS119" s="116">
        <f>SUM(AM119:AR119)</f>
        <v>50000</v>
      </c>
      <c r="AT119" s="134">
        <f t="shared" si="22"/>
        <v>50000</v>
      </c>
      <c r="AU119" s="134">
        <f t="shared" si="15"/>
        <v>0</v>
      </c>
      <c r="AV119" s="142"/>
      <c r="AW119" s="135"/>
      <c r="AX119" s="135"/>
      <c r="AY119" s="135"/>
      <c r="AZ119" s="135"/>
      <c r="BA119" s="135"/>
      <c r="BB119" s="116"/>
      <c r="BC119" s="113"/>
      <c r="BD119" s="116"/>
      <c r="BE119" s="113"/>
      <c r="BF119" s="116"/>
      <c r="BG119" s="116"/>
      <c r="BH119" s="137">
        <f t="shared" si="16"/>
        <v>150000</v>
      </c>
      <c r="BI119" s="138">
        <f t="shared" si="17"/>
        <v>50000</v>
      </c>
      <c r="BJ119" s="147"/>
      <c r="BK119" s="91"/>
    </row>
    <row r="120" spans="1:63" ht="15.75">
      <c r="A120" s="123">
        <v>502577</v>
      </c>
      <c r="B120" s="126">
        <v>207584</v>
      </c>
      <c r="C120" s="148" t="s">
        <v>968</v>
      </c>
      <c r="D120" s="148" t="s">
        <v>969</v>
      </c>
      <c r="E120" s="125" t="s">
        <v>966</v>
      </c>
      <c r="F120" s="124" t="s">
        <v>967</v>
      </c>
      <c r="G120" s="127" t="s">
        <v>46</v>
      </c>
      <c r="H120" s="149" t="s">
        <v>628</v>
      </c>
      <c r="I120" s="126" t="s">
        <v>609</v>
      </c>
      <c r="J120" s="126" t="s">
        <v>818</v>
      </c>
      <c r="K120" s="128" t="s">
        <v>866</v>
      </c>
      <c r="L120" s="121" t="s">
        <v>19</v>
      </c>
      <c r="M120" s="123" t="s">
        <v>970</v>
      </c>
      <c r="N120" s="129">
        <v>42826</v>
      </c>
      <c r="O120" s="129">
        <v>43738</v>
      </c>
      <c r="P120" s="129">
        <v>43921</v>
      </c>
      <c r="Q120" s="144">
        <v>110000</v>
      </c>
      <c r="R120" s="150"/>
      <c r="S120" s="132">
        <v>41000</v>
      </c>
      <c r="T120" s="132">
        <v>5000</v>
      </c>
      <c r="U120" s="132">
        <v>3000</v>
      </c>
      <c r="V120" s="132">
        <v>0</v>
      </c>
      <c r="W120" s="132">
        <v>1000</v>
      </c>
      <c r="X120" s="132">
        <v>0</v>
      </c>
      <c r="Y120" s="111">
        <v>50000</v>
      </c>
      <c r="Z120" s="133">
        <f t="shared" si="20"/>
        <v>50000</v>
      </c>
      <c r="AA120" s="133">
        <f t="shared" si="21"/>
        <v>0</v>
      </c>
      <c r="AB120" s="141"/>
      <c r="AC120" s="132">
        <v>41000</v>
      </c>
      <c r="AD120" s="132">
        <v>15000</v>
      </c>
      <c r="AE120" s="132">
        <v>3000</v>
      </c>
      <c r="AF120" s="132"/>
      <c r="AG120" s="132">
        <v>1000</v>
      </c>
      <c r="AH120" s="132"/>
      <c r="AI120" s="111">
        <v>60000</v>
      </c>
      <c r="AJ120" s="134">
        <f t="shared" si="19"/>
        <v>60000</v>
      </c>
      <c r="AK120" s="134">
        <f t="shared" si="14"/>
        <v>0</v>
      </c>
      <c r="AL120" s="145"/>
      <c r="AM120" s="132">
        <v>0</v>
      </c>
      <c r="AN120" s="132">
        <v>0</v>
      </c>
      <c r="AO120" s="132">
        <v>0</v>
      </c>
      <c r="AP120" s="132">
        <v>0</v>
      </c>
      <c r="AQ120" s="132">
        <v>0</v>
      </c>
      <c r="AR120" s="132">
        <v>0</v>
      </c>
      <c r="AS120" s="116">
        <v>0</v>
      </c>
      <c r="AT120" s="134">
        <f t="shared" si="22"/>
        <v>0</v>
      </c>
      <c r="AU120" s="134">
        <f t="shared" si="15"/>
        <v>0</v>
      </c>
      <c r="AV120" s="142"/>
      <c r="AW120" s="135"/>
      <c r="AX120" s="135"/>
      <c r="AY120" s="135"/>
      <c r="AZ120" s="135"/>
      <c r="BA120" s="135"/>
      <c r="BB120" s="116"/>
      <c r="BC120" s="113"/>
      <c r="BD120" s="116"/>
      <c r="BE120" s="113"/>
      <c r="BF120" s="116"/>
      <c r="BG120" s="116"/>
      <c r="BH120" s="137">
        <f t="shared" si="16"/>
        <v>110000</v>
      </c>
      <c r="BI120" s="138">
        <f t="shared" si="17"/>
        <v>0</v>
      </c>
      <c r="BJ120" s="126" t="s">
        <v>971</v>
      </c>
      <c r="BK120" s="91"/>
    </row>
    <row r="121" spans="1:63" ht="15.75">
      <c r="A121" s="123">
        <v>501348</v>
      </c>
      <c r="B121" s="126">
        <v>207627</v>
      </c>
      <c r="C121" s="121" t="s">
        <v>974</v>
      </c>
      <c r="D121" s="121" t="s">
        <v>975</v>
      </c>
      <c r="E121" s="125" t="s">
        <v>972</v>
      </c>
      <c r="F121" s="124" t="s">
        <v>973</v>
      </c>
      <c r="G121" s="127" t="s">
        <v>68</v>
      </c>
      <c r="H121" s="123" t="s">
        <v>628</v>
      </c>
      <c r="I121" s="123" t="s">
        <v>703</v>
      </c>
      <c r="J121" s="126" t="s">
        <v>976</v>
      </c>
      <c r="K121" s="128" t="s">
        <v>977</v>
      </c>
      <c r="L121" s="121" t="s">
        <v>515</v>
      </c>
      <c r="M121" s="143" t="s">
        <v>934</v>
      </c>
      <c r="N121" s="129">
        <v>42614</v>
      </c>
      <c r="O121" s="129">
        <v>44286</v>
      </c>
      <c r="P121" s="129">
        <v>44286</v>
      </c>
      <c r="Q121" s="144">
        <v>50000</v>
      </c>
      <c r="R121" s="150"/>
      <c r="S121" s="132">
        <v>20000</v>
      </c>
      <c r="T121" s="132">
        <v>5000</v>
      </c>
      <c r="U121" s="132">
        <v>0</v>
      </c>
      <c r="V121" s="132"/>
      <c r="W121" s="132">
        <v>0</v>
      </c>
      <c r="X121" s="132">
        <v>0</v>
      </c>
      <c r="Y121" s="111">
        <v>25000</v>
      </c>
      <c r="Z121" s="133">
        <f t="shared" si="20"/>
        <v>25000</v>
      </c>
      <c r="AA121" s="133">
        <f t="shared" si="21"/>
        <v>0</v>
      </c>
      <c r="AB121" s="141"/>
      <c r="AC121" s="132">
        <v>20000</v>
      </c>
      <c r="AD121" s="132">
        <v>5000</v>
      </c>
      <c r="AE121" s="132">
        <v>0</v>
      </c>
      <c r="AF121" s="132">
        <v>0</v>
      </c>
      <c r="AG121" s="132">
        <v>0</v>
      </c>
      <c r="AH121" s="132"/>
      <c r="AI121" s="111">
        <v>25000</v>
      </c>
      <c r="AJ121" s="134">
        <f t="shared" si="19"/>
        <v>25000</v>
      </c>
      <c r="AK121" s="134">
        <f t="shared" si="14"/>
        <v>0</v>
      </c>
      <c r="AL121" s="142"/>
      <c r="AM121" s="132">
        <v>0</v>
      </c>
      <c r="AN121" s="132">
        <v>0</v>
      </c>
      <c r="AO121" s="132">
        <v>0</v>
      </c>
      <c r="AP121" s="132">
        <v>0</v>
      </c>
      <c r="AQ121" s="132">
        <v>0</v>
      </c>
      <c r="AR121" s="132">
        <v>0</v>
      </c>
      <c r="AS121" s="116">
        <v>0</v>
      </c>
      <c r="AT121" s="134">
        <f t="shared" si="22"/>
        <v>0</v>
      </c>
      <c r="AU121" s="134">
        <f t="shared" si="15"/>
        <v>0</v>
      </c>
      <c r="AV121" s="142"/>
      <c r="AW121" s="135"/>
      <c r="AX121" s="135"/>
      <c r="AY121" s="135"/>
      <c r="AZ121" s="135"/>
      <c r="BA121" s="135"/>
      <c r="BB121" s="116"/>
      <c r="BC121" s="113"/>
      <c r="BD121" s="116"/>
      <c r="BE121" s="113"/>
      <c r="BF121" s="116"/>
      <c r="BG121" s="116"/>
      <c r="BH121" s="137">
        <f t="shared" si="16"/>
        <v>50000</v>
      </c>
      <c r="BI121" s="138">
        <f t="shared" si="17"/>
        <v>0</v>
      </c>
      <c r="BJ121" s="147"/>
      <c r="BK121" s="91"/>
    </row>
    <row r="122" spans="1:63" ht="15.75">
      <c r="A122" s="123">
        <v>501347</v>
      </c>
      <c r="B122" s="126">
        <v>207636</v>
      </c>
      <c r="C122" s="148" t="s">
        <v>979</v>
      </c>
      <c r="D122" s="148" t="s">
        <v>980</v>
      </c>
      <c r="E122" s="125" t="s">
        <v>978</v>
      </c>
      <c r="F122" s="124" t="s">
        <v>181</v>
      </c>
      <c r="G122" s="127" t="s">
        <v>46</v>
      </c>
      <c r="H122" s="149" t="s">
        <v>628</v>
      </c>
      <c r="I122" s="126" t="s">
        <v>609</v>
      </c>
      <c r="J122" s="126" t="s">
        <v>610</v>
      </c>
      <c r="K122" s="128" t="s">
        <v>981</v>
      </c>
      <c r="L122" s="121" t="s">
        <v>515</v>
      </c>
      <c r="M122" s="123" t="s">
        <v>2069</v>
      </c>
      <c r="N122" s="129">
        <v>42614</v>
      </c>
      <c r="O122" s="129">
        <v>43708</v>
      </c>
      <c r="P122" s="129">
        <v>43921</v>
      </c>
      <c r="Q122" s="144">
        <v>129000</v>
      </c>
      <c r="R122" s="150"/>
      <c r="S122" s="132">
        <v>25000</v>
      </c>
      <c r="T122" s="132">
        <v>0</v>
      </c>
      <c r="U122" s="132">
        <v>8000</v>
      </c>
      <c r="V122" s="132"/>
      <c r="W122" s="132">
        <v>10000</v>
      </c>
      <c r="X122" s="132">
        <v>0</v>
      </c>
      <c r="Y122" s="111">
        <v>43000</v>
      </c>
      <c r="Z122" s="133">
        <f t="shared" si="20"/>
        <v>43000</v>
      </c>
      <c r="AA122" s="133">
        <f t="shared" si="21"/>
        <v>0</v>
      </c>
      <c r="AB122" s="141"/>
      <c r="AC122" s="132">
        <v>25000</v>
      </c>
      <c r="AD122" s="132">
        <v>0</v>
      </c>
      <c r="AE122" s="132">
        <v>8000</v>
      </c>
      <c r="AF122" s="132">
        <v>10000</v>
      </c>
      <c r="AG122" s="132">
        <v>0</v>
      </c>
      <c r="AH122" s="132"/>
      <c r="AI122" s="111">
        <v>43000</v>
      </c>
      <c r="AJ122" s="134">
        <f t="shared" si="19"/>
        <v>43000</v>
      </c>
      <c r="AK122" s="134">
        <f t="shared" si="14"/>
        <v>0</v>
      </c>
      <c r="AL122" s="142"/>
      <c r="AM122" s="135">
        <v>25000</v>
      </c>
      <c r="AN122" s="135">
        <v>0</v>
      </c>
      <c r="AO122" s="135">
        <v>8000</v>
      </c>
      <c r="AP122" s="135"/>
      <c r="AQ122" s="135">
        <v>10000</v>
      </c>
      <c r="AR122" s="135">
        <v>0</v>
      </c>
      <c r="AS122" s="116">
        <v>43000</v>
      </c>
      <c r="AT122" s="134">
        <f t="shared" si="22"/>
        <v>43000</v>
      </c>
      <c r="AU122" s="134">
        <f t="shared" si="15"/>
        <v>0</v>
      </c>
      <c r="AV122" s="142"/>
      <c r="AW122" s="135"/>
      <c r="AX122" s="135"/>
      <c r="AY122" s="135"/>
      <c r="AZ122" s="135"/>
      <c r="BA122" s="135"/>
      <c r="BB122" s="116"/>
      <c r="BC122" s="113"/>
      <c r="BD122" s="116"/>
      <c r="BE122" s="113"/>
      <c r="BF122" s="116"/>
      <c r="BG122" s="116"/>
      <c r="BH122" s="137">
        <f t="shared" si="16"/>
        <v>129000</v>
      </c>
      <c r="BI122" s="138">
        <f t="shared" si="17"/>
        <v>0</v>
      </c>
      <c r="BJ122" s="147"/>
      <c r="BK122" s="91"/>
    </row>
    <row r="123" spans="1:63" ht="15.75">
      <c r="A123" s="123">
        <v>501380</v>
      </c>
      <c r="B123" s="126">
        <v>207636</v>
      </c>
      <c r="C123" s="148" t="s">
        <v>979</v>
      </c>
      <c r="D123" s="148" t="s">
        <v>980</v>
      </c>
      <c r="E123" s="125" t="s">
        <v>978</v>
      </c>
      <c r="F123" s="124" t="s">
        <v>181</v>
      </c>
      <c r="G123" s="127" t="s">
        <v>46</v>
      </c>
      <c r="H123" s="149" t="s">
        <v>628</v>
      </c>
      <c r="I123" s="126" t="s">
        <v>609</v>
      </c>
      <c r="J123" s="126" t="s">
        <v>610</v>
      </c>
      <c r="K123" s="128" t="s">
        <v>611</v>
      </c>
      <c r="L123" s="121" t="s">
        <v>515</v>
      </c>
      <c r="M123" s="143" t="s">
        <v>982</v>
      </c>
      <c r="N123" s="129">
        <v>42614</v>
      </c>
      <c r="O123" s="129">
        <v>44104</v>
      </c>
      <c r="P123" s="129">
        <v>44149</v>
      </c>
      <c r="Q123" s="144">
        <v>415063</v>
      </c>
      <c r="R123" s="150"/>
      <c r="S123" s="132">
        <v>45129</v>
      </c>
      <c r="T123" s="132">
        <v>40229</v>
      </c>
      <c r="U123" s="132">
        <v>36840</v>
      </c>
      <c r="V123" s="132"/>
      <c r="W123" s="132">
        <v>13815</v>
      </c>
      <c r="X123" s="132">
        <v>0</v>
      </c>
      <c r="Y123" s="111">
        <v>136013</v>
      </c>
      <c r="Z123" s="133">
        <f t="shared" si="20"/>
        <v>136013</v>
      </c>
      <c r="AA123" s="133">
        <f t="shared" si="21"/>
        <v>0</v>
      </c>
      <c r="AB123" s="141"/>
      <c r="AC123" s="132">
        <v>49000</v>
      </c>
      <c r="AD123" s="132">
        <v>15000</v>
      </c>
      <c r="AE123" s="132">
        <v>60525</v>
      </c>
      <c r="AF123" s="132">
        <v>15000</v>
      </c>
      <c r="AG123" s="132">
        <v>0</v>
      </c>
      <c r="AH123" s="132"/>
      <c r="AI123" s="111">
        <v>139525</v>
      </c>
      <c r="AJ123" s="134">
        <f t="shared" si="19"/>
        <v>139525</v>
      </c>
      <c r="AK123" s="134">
        <f t="shared" si="14"/>
        <v>0</v>
      </c>
      <c r="AL123" s="142"/>
      <c r="AM123" s="135">
        <v>49000</v>
      </c>
      <c r="AN123" s="135">
        <v>15000</v>
      </c>
      <c r="AO123" s="135">
        <v>60525</v>
      </c>
      <c r="AP123" s="135"/>
      <c r="AQ123" s="135">
        <v>15000</v>
      </c>
      <c r="AR123" s="135">
        <v>0</v>
      </c>
      <c r="AS123" s="116">
        <v>139525</v>
      </c>
      <c r="AT123" s="134">
        <f t="shared" si="22"/>
        <v>139525</v>
      </c>
      <c r="AU123" s="134">
        <f t="shared" si="15"/>
        <v>0</v>
      </c>
      <c r="AV123" s="142"/>
      <c r="AW123" s="135"/>
      <c r="AX123" s="135"/>
      <c r="AY123" s="135"/>
      <c r="AZ123" s="135"/>
      <c r="BA123" s="135"/>
      <c r="BB123" s="116"/>
      <c r="BC123" s="113"/>
      <c r="BD123" s="116"/>
      <c r="BE123" s="113"/>
      <c r="BF123" s="116"/>
      <c r="BG123" s="116"/>
      <c r="BH123" s="137">
        <f t="shared" si="16"/>
        <v>415063</v>
      </c>
      <c r="BI123" s="138">
        <f t="shared" si="17"/>
        <v>0</v>
      </c>
      <c r="BJ123" s="147"/>
      <c r="BK123" s="91"/>
    </row>
    <row r="124" spans="1:63" ht="15.75">
      <c r="A124" s="123">
        <v>507637</v>
      </c>
      <c r="B124" s="126">
        <v>207636</v>
      </c>
      <c r="C124" s="124" t="s">
        <v>979</v>
      </c>
      <c r="D124" s="148" t="s">
        <v>980</v>
      </c>
      <c r="E124" s="125" t="s">
        <v>978</v>
      </c>
      <c r="F124" s="124" t="s">
        <v>181</v>
      </c>
      <c r="G124" s="127" t="s">
        <v>46</v>
      </c>
      <c r="H124" s="126" t="s">
        <v>628</v>
      </c>
      <c r="I124" s="126" t="s">
        <v>609</v>
      </c>
      <c r="J124" s="126" t="s">
        <v>610</v>
      </c>
      <c r="K124" s="128" t="s">
        <v>611</v>
      </c>
      <c r="L124" s="121" t="s">
        <v>519</v>
      </c>
      <c r="M124" s="123" t="s">
        <v>736</v>
      </c>
      <c r="N124" s="129">
        <v>43709</v>
      </c>
      <c r="O124" s="129">
        <v>44530</v>
      </c>
      <c r="P124" s="129">
        <v>44530</v>
      </c>
      <c r="Q124" s="130">
        <f>85000+85000</f>
        <v>170000</v>
      </c>
      <c r="R124" s="113"/>
      <c r="S124" s="132">
        <v>50000</v>
      </c>
      <c r="T124" s="132"/>
      <c r="U124" s="132">
        <f>25000+9725.26</f>
        <v>34725.26</v>
      </c>
      <c r="V124" s="132"/>
      <c r="W124" s="132">
        <f>10000-9725.26</f>
        <v>274.73999999999978</v>
      </c>
      <c r="X124" s="132"/>
      <c r="Y124" s="111">
        <v>85000</v>
      </c>
      <c r="Z124" s="133">
        <f t="shared" si="20"/>
        <v>85000.000000000015</v>
      </c>
      <c r="AA124" s="133">
        <f t="shared" si="21"/>
        <v>0</v>
      </c>
      <c r="AB124" s="141"/>
      <c r="AC124" s="132">
        <v>50000</v>
      </c>
      <c r="AD124" s="132"/>
      <c r="AE124" s="132">
        <v>25000</v>
      </c>
      <c r="AF124" s="132"/>
      <c r="AG124" s="132">
        <v>10000</v>
      </c>
      <c r="AH124" s="132"/>
      <c r="AI124" s="111">
        <v>85000</v>
      </c>
      <c r="AJ124" s="134">
        <f t="shared" si="19"/>
        <v>85000</v>
      </c>
      <c r="AK124" s="134">
        <f t="shared" si="14"/>
        <v>0</v>
      </c>
      <c r="AL124" s="142"/>
      <c r="AM124" s="132">
        <v>50000</v>
      </c>
      <c r="AN124" s="132"/>
      <c r="AO124" s="132">
        <v>25000</v>
      </c>
      <c r="AP124" s="132"/>
      <c r="AQ124" s="132">
        <v>10000</v>
      </c>
      <c r="AR124" s="132"/>
      <c r="AS124" s="116">
        <f>SUM(AM124:AR124)</f>
        <v>85000</v>
      </c>
      <c r="AT124" s="134">
        <f t="shared" si="22"/>
        <v>85000</v>
      </c>
      <c r="AU124" s="134">
        <f t="shared" si="15"/>
        <v>0</v>
      </c>
      <c r="AV124" s="142"/>
      <c r="AW124" s="135"/>
      <c r="AX124" s="135"/>
      <c r="AY124" s="135"/>
      <c r="AZ124" s="135"/>
      <c r="BA124" s="135"/>
      <c r="BB124" s="116"/>
      <c r="BC124" s="113"/>
      <c r="BD124" s="116"/>
      <c r="BE124" s="113"/>
      <c r="BF124" s="116"/>
      <c r="BG124" s="116"/>
      <c r="BH124" s="137">
        <f t="shared" si="16"/>
        <v>255000</v>
      </c>
      <c r="BI124" s="138">
        <f t="shared" si="17"/>
        <v>85000</v>
      </c>
      <c r="BJ124" s="126"/>
      <c r="BK124" s="91"/>
    </row>
    <row r="125" spans="1:63" ht="15.75">
      <c r="A125" s="123">
        <v>502561</v>
      </c>
      <c r="B125" s="126">
        <v>208217</v>
      </c>
      <c r="C125" s="124" t="s">
        <v>988</v>
      </c>
      <c r="D125" s="124" t="s">
        <v>989</v>
      </c>
      <c r="E125" s="140" t="s">
        <v>986</v>
      </c>
      <c r="F125" s="124" t="s">
        <v>987</v>
      </c>
      <c r="G125" s="127" t="s">
        <v>46</v>
      </c>
      <c r="H125" s="126" t="s">
        <v>597</v>
      </c>
      <c r="I125" s="126" t="s">
        <v>598</v>
      </c>
      <c r="J125" s="126" t="s">
        <v>696</v>
      </c>
      <c r="K125" s="128" t="s">
        <v>697</v>
      </c>
      <c r="L125" s="121" t="s">
        <v>19</v>
      </c>
      <c r="M125" s="123" t="s">
        <v>883</v>
      </c>
      <c r="N125" s="129">
        <v>42826</v>
      </c>
      <c r="O125" s="129">
        <v>43555</v>
      </c>
      <c r="P125" s="129">
        <v>43190</v>
      </c>
      <c r="Q125" s="130">
        <v>122500</v>
      </c>
      <c r="R125" s="113"/>
      <c r="S125" s="132">
        <v>37350</v>
      </c>
      <c r="T125" s="132">
        <v>0</v>
      </c>
      <c r="U125" s="132">
        <v>17000</v>
      </c>
      <c r="V125" s="132">
        <v>0</v>
      </c>
      <c r="W125" s="132">
        <v>6900</v>
      </c>
      <c r="X125" s="132">
        <v>0</v>
      </c>
      <c r="Y125" s="111">
        <v>61250</v>
      </c>
      <c r="Z125" s="133">
        <f t="shared" si="20"/>
        <v>61250</v>
      </c>
      <c r="AA125" s="133">
        <f t="shared" si="21"/>
        <v>0</v>
      </c>
      <c r="AB125" s="141"/>
      <c r="AC125" s="132">
        <v>37350</v>
      </c>
      <c r="AD125" s="132">
        <v>0</v>
      </c>
      <c r="AE125" s="132">
        <v>17000</v>
      </c>
      <c r="AF125" s="132"/>
      <c r="AG125" s="132">
        <v>6900</v>
      </c>
      <c r="AH125" s="132"/>
      <c r="AI125" s="111">
        <v>61250</v>
      </c>
      <c r="AJ125" s="134">
        <f t="shared" si="19"/>
        <v>61250</v>
      </c>
      <c r="AK125" s="134">
        <f t="shared" si="14"/>
        <v>0</v>
      </c>
      <c r="AL125" s="145"/>
      <c r="AM125" s="132" t="s">
        <v>602</v>
      </c>
      <c r="AN125" s="132" t="s">
        <v>602</v>
      </c>
      <c r="AO125" s="132" t="s">
        <v>602</v>
      </c>
      <c r="AP125" s="132" t="s">
        <v>602</v>
      </c>
      <c r="AQ125" s="132" t="s">
        <v>602</v>
      </c>
      <c r="AR125" s="135" t="s">
        <v>602</v>
      </c>
      <c r="AS125" s="116">
        <v>0</v>
      </c>
      <c r="AT125" s="134">
        <f t="shared" si="22"/>
        <v>0</v>
      </c>
      <c r="AU125" s="134">
        <f t="shared" si="15"/>
        <v>0</v>
      </c>
      <c r="AV125" s="142"/>
      <c r="AW125" s="135"/>
      <c r="AX125" s="135"/>
      <c r="AY125" s="135"/>
      <c r="AZ125" s="135"/>
      <c r="BA125" s="135"/>
      <c r="BB125" s="116"/>
      <c r="BC125" s="113"/>
      <c r="BD125" s="116"/>
      <c r="BE125" s="113"/>
      <c r="BF125" s="116"/>
      <c r="BG125" s="116"/>
      <c r="BH125" s="137">
        <f t="shared" si="16"/>
        <v>122500</v>
      </c>
      <c r="BI125" s="138">
        <f t="shared" si="17"/>
        <v>0</v>
      </c>
      <c r="BJ125" s="126"/>
      <c r="BK125" s="91"/>
    </row>
    <row r="126" spans="1:63" ht="15.75">
      <c r="A126" s="123">
        <v>506448</v>
      </c>
      <c r="B126" s="126">
        <v>208217</v>
      </c>
      <c r="C126" s="124" t="s">
        <v>988</v>
      </c>
      <c r="D126" s="124" t="s">
        <v>989</v>
      </c>
      <c r="E126" s="125" t="s">
        <v>986</v>
      </c>
      <c r="F126" s="124" t="s">
        <v>987</v>
      </c>
      <c r="G126" s="127" t="s">
        <v>46</v>
      </c>
      <c r="H126" s="126" t="s">
        <v>597</v>
      </c>
      <c r="I126" s="126" t="s">
        <v>598</v>
      </c>
      <c r="J126" s="126" t="s">
        <v>696</v>
      </c>
      <c r="K126" s="128" t="s">
        <v>697</v>
      </c>
      <c r="L126" s="121" t="s">
        <v>517</v>
      </c>
      <c r="M126" s="123" t="s">
        <v>990</v>
      </c>
      <c r="N126" s="129">
        <v>43556</v>
      </c>
      <c r="O126" s="129">
        <v>44286</v>
      </c>
      <c r="P126" s="129">
        <v>44286</v>
      </c>
      <c r="Q126" s="130">
        <f>50000*2</f>
        <v>100000</v>
      </c>
      <c r="R126" s="113"/>
      <c r="S126" s="132">
        <v>50000</v>
      </c>
      <c r="T126" s="132"/>
      <c r="U126" s="132"/>
      <c r="V126" s="132"/>
      <c r="W126" s="132"/>
      <c r="X126" s="132"/>
      <c r="Y126" s="111">
        <v>50000</v>
      </c>
      <c r="Z126" s="133">
        <f t="shared" si="20"/>
        <v>50000</v>
      </c>
      <c r="AA126" s="133">
        <f t="shared" si="21"/>
        <v>0</v>
      </c>
      <c r="AB126" s="141"/>
      <c r="AC126" s="132">
        <v>50000</v>
      </c>
      <c r="AD126" s="132"/>
      <c r="AE126" s="132"/>
      <c r="AF126" s="132"/>
      <c r="AG126" s="132"/>
      <c r="AH126" s="132"/>
      <c r="AI126" s="111">
        <v>50000</v>
      </c>
      <c r="AJ126" s="134">
        <f t="shared" si="19"/>
        <v>50000</v>
      </c>
      <c r="AK126" s="134">
        <f t="shared" si="14"/>
        <v>0</v>
      </c>
      <c r="AL126" s="142"/>
      <c r="AM126" s="135"/>
      <c r="AN126" s="135"/>
      <c r="AO126" s="135"/>
      <c r="AP126" s="135"/>
      <c r="AQ126" s="135"/>
      <c r="AR126" s="135"/>
      <c r="AS126" s="116"/>
      <c r="AT126" s="134">
        <f t="shared" si="22"/>
        <v>0</v>
      </c>
      <c r="AU126" s="134">
        <f t="shared" si="15"/>
        <v>0</v>
      </c>
      <c r="AV126" s="142"/>
      <c r="AW126" s="135"/>
      <c r="AX126" s="135"/>
      <c r="AY126" s="135"/>
      <c r="AZ126" s="135"/>
      <c r="BA126" s="135"/>
      <c r="BB126" s="116"/>
      <c r="BC126" s="113"/>
      <c r="BD126" s="116"/>
      <c r="BE126" s="113"/>
      <c r="BF126" s="116"/>
      <c r="BG126" s="116"/>
      <c r="BH126" s="137">
        <f t="shared" si="16"/>
        <v>100000</v>
      </c>
      <c r="BI126" s="138">
        <f t="shared" si="17"/>
        <v>0</v>
      </c>
      <c r="BJ126" s="126"/>
      <c r="BK126" s="91"/>
    </row>
    <row r="127" spans="1:63" ht="15.75">
      <c r="A127" s="123">
        <v>501333</v>
      </c>
      <c r="B127" s="126">
        <v>208325</v>
      </c>
      <c r="C127" s="148" t="s">
        <v>993</v>
      </c>
      <c r="D127" s="148" t="s">
        <v>608</v>
      </c>
      <c r="E127" s="125" t="s">
        <v>991</v>
      </c>
      <c r="F127" s="124" t="s">
        <v>992</v>
      </c>
      <c r="G127" s="127" t="s">
        <v>53</v>
      </c>
      <c r="H127" s="149" t="s">
        <v>628</v>
      </c>
      <c r="I127" s="126" t="s">
        <v>598</v>
      </c>
      <c r="J127" s="126" t="s">
        <v>730</v>
      </c>
      <c r="K127" s="128" t="s">
        <v>735</v>
      </c>
      <c r="L127" s="121" t="s">
        <v>515</v>
      </c>
      <c r="M127" s="123" t="s">
        <v>797</v>
      </c>
      <c r="N127" s="129">
        <v>42614</v>
      </c>
      <c r="O127" s="129">
        <v>43830</v>
      </c>
      <c r="P127" s="129">
        <v>44144</v>
      </c>
      <c r="Q127" s="144">
        <v>150000</v>
      </c>
      <c r="R127" s="150"/>
      <c r="S127" s="132">
        <v>50000</v>
      </c>
      <c r="T127" s="132">
        <v>0</v>
      </c>
      <c r="U127" s="132">
        <v>0</v>
      </c>
      <c r="V127" s="132"/>
      <c r="W127" s="132">
        <v>0</v>
      </c>
      <c r="X127" s="132">
        <v>0</v>
      </c>
      <c r="Y127" s="111">
        <v>50000</v>
      </c>
      <c r="Z127" s="133">
        <f t="shared" si="20"/>
        <v>50000</v>
      </c>
      <c r="AA127" s="133">
        <f t="shared" si="21"/>
        <v>0</v>
      </c>
      <c r="AB127" s="141"/>
      <c r="AC127" s="132">
        <v>50000</v>
      </c>
      <c r="AD127" s="132">
        <v>0</v>
      </c>
      <c r="AE127" s="132">
        <v>0</v>
      </c>
      <c r="AF127" s="132">
        <v>0</v>
      </c>
      <c r="AG127" s="132">
        <v>0</v>
      </c>
      <c r="AH127" s="132"/>
      <c r="AI127" s="111">
        <v>50000</v>
      </c>
      <c r="AJ127" s="134">
        <f t="shared" si="19"/>
        <v>50000</v>
      </c>
      <c r="AK127" s="134">
        <f t="shared" si="14"/>
        <v>0</v>
      </c>
      <c r="AL127" s="142"/>
      <c r="AM127" s="135">
        <v>50000</v>
      </c>
      <c r="AN127" s="135">
        <v>0</v>
      </c>
      <c r="AO127" s="135">
        <v>0</v>
      </c>
      <c r="AP127" s="135"/>
      <c r="AQ127" s="135">
        <v>0</v>
      </c>
      <c r="AR127" s="135">
        <v>0</v>
      </c>
      <c r="AS127" s="116">
        <v>50000</v>
      </c>
      <c r="AT127" s="134">
        <f t="shared" si="22"/>
        <v>50000</v>
      </c>
      <c r="AU127" s="134">
        <f t="shared" si="15"/>
        <v>0</v>
      </c>
      <c r="AV127" s="142"/>
      <c r="AW127" s="135"/>
      <c r="AX127" s="135"/>
      <c r="AY127" s="135"/>
      <c r="AZ127" s="135"/>
      <c r="BA127" s="135"/>
      <c r="BB127" s="116"/>
      <c r="BC127" s="113"/>
      <c r="BD127" s="116"/>
      <c r="BE127" s="113"/>
      <c r="BF127" s="116"/>
      <c r="BG127" s="116"/>
      <c r="BH127" s="137">
        <f t="shared" si="16"/>
        <v>150000</v>
      </c>
      <c r="BI127" s="138">
        <f t="shared" si="17"/>
        <v>0</v>
      </c>
      <c r="BJ127" s="147"/>
      <c r="BK127" s="91"/>
    </row>
    <row r="128" spans="1:63" ht="15.75">
      <c r="A128" s="123">
        <v>501335</v>
      </c>
      <c r="B128" s="126">
        <v>208325</v>
      </c>
      <c r="C128" s="148" t="s">
        <v>993</v>
      </c>
      <c r="D128" s="148" t="s">
        <v>608</v>
      </c>
      <c r="E128" s="125" t="s">
        <v>991</v>
      </c>
      <c r="F128" s="124" t="s">
        <v>992</v>
      </c>
      <c r="G128" s="127" t="s">
        <v>53</v>
      </c>
      <c r="H128" s="149" t="s">
        <v>628</v>
      </c>
      <c r="I128" s="126" t="s">
        <v>598</v>
      </c>
      <c r="J128" s="126" t="s">
        <v>730</v>
      </c>
      <c r="K128" s="128" t="s">
        <v>735</v>
      </c>
      <c r="L128" s="121" t="s">
        <v>515</v>
      </c>
      <c r="M128" s="123" t="s">
        <v>994</v>
      </c>
      <c r="N128" s="129">
        <v>42614</v>
      </c>
      <c r="O128" s="129">
        <v>43708</v>
      </c>
      <c r="P128" s="129">
        <v>43798</v>
      </c>
      <c r="Q128" s="144">
        <v>43125</v>
      </c>
      <c r="R128" s="150"/>
      <c r="S128" s="132">
        <v>14375</v>
      </c>
      <c r="T128" s="132">
        <v>0</v>
      </c>
      <c r="U128" s="132">
        <v>0</v>
      </c>
      <c r="V128" s="132"/>
      <c r="W128" s="132">
        <v>0</v>
      </c>
      <c r="X128" s="132">
        <v>0</v>
      </c>
      <c r="Y128" s="111">
        <v>14375</v>
      </c>
      <c r="Z128" s="133">
        <f t="shared" ref="Z128:Z159" si="23">SUM(R128:X128)</f>
        <v>14375</v>
      </c>
      <c r="AA128" s="133">
        <f t="shared" ref="AA128:AA159" si="24">Z128-Y128</f>
        <v>0</v>
      </c>
      <c r="AB128" s="141"/>
      <c r="AC128" s="132">
        <v>14375</v>
      </c>
      <c r="AD128" s="132">
        <v>0</v>
      </c>
      <c r="AE128" s="132">
        <v>0</v>
      </c>
      <c r="AF128" s="132">
        <v>0</v>
      </c>
      <c r="AG128" s="132">
        <v>0</v>
      </c>
      <c r="AH128" s="132"/>
      <c r="AI128" s="111">
        <v>14375</v>
      </c>
      <c r="AJ128" s="134">
        <f t="shared" si="19"/>
        <v>14375</v>
      </c>
      <c r="AK128" s="134">
        <f t="shared" si="14"/>
        <v>0</v>
      </c>
      <c r="AL128" s="142"/>
      <c r="AM128" s="135">
        <v>14375</v>
      </c>
      <c r="AN128" s="135">
        <v>0</v>
      </c>
      <c r="AO128" s="135">
        <v>0</v>
      </c>
      <c r="AP128" s="135"/>
      <c r="AQ128" s="135">
        <v>0</v>
      </c>
      <c r="AR128" s="135">
        <v>0</v>
      </c>
      <c r="AS128" s="116">
        <v>14375</v>
      </c>
      <c r="AT128" s="134">
        <f t="shared" si="22"/>
        <v>14375</v>
      </c>
      <c r="AU128" s="134">
        <f t="shared" si="15"/>
        <v>0</v>
      </c>
      <c r="AV128" s="142"/>
      <c r="AW128" s="135"/>
      <c r="AX128" s="135"/>
      <c r="AY128" s="135"/>
      <c r="AZ128" s="135"/>
      <c r="BA128" s="135"/>
      <c r="BB128" s="116"/>
      <c r="BC128" s="113"/>
      <c r="BD128" s="116"/>
      <c r="BE128" s="113"/>
      <c r="BF128" s="116"/>
      <c r="BG128" s="116"/>
      <c r="BH128" s="137">
        <f t="shared" si="16"/>
        <v>43125</v>
      </c>
      <c r="BI128" s="138">
        <f t="shared" si="17"/>
        <v>0</v>
      </c>
      <c r="BJ128" s="147"/>
      <c r="BK128" s="91"/>
    </row>
    <row r="129" spans="1:63" ht="15.75">
      <c r="A129" s="123">
        <v>502069</v>
      </c>
      <c r="B129" s="126">
        <v>208342</v>
      </c>
      <c r="C129" s="121" t="s">
        <v>997</v>
      </c>
      <c r="D129" s="121" t="s">
        <v>998</v>
      </c>
      <c r="E129" s="125" t="s">
        <v>995</v>
      </c>
      <c r="F129" s="124" t="s">
        <v>996</v>
      </c>
      <c r="G129" s="127" t="s">
        <v>68</v>
      </c>
      <c r="H129" s="123" t="s">
        <v>628</v>
      </c>
      <c r="I129" s="126" t="s">
        <v>598</v>
      </c>
      <c r="J129" s="126" t="s">
        <v>888</v>
      </c>
      <c r="K129" s="128" t="s">
        <v>731</v>
      </c>
      <c r="L129" s="124" t="s">
        <v>521</v>
      </c>
      <c r="M129" s="123" t="s">
        <v>927</v>
      </c>
      <c r="N129" s="129">
        <v>42767</v>
      </c>
      <c r="O129" s="129">
        <v>43465</v>
      </c>
      <c r="P129" s="129">
        <v>43100</v>
      </c>
      <c r="Q129" s="144">
        <v>30000</v>
      </c>
      <c r="R129" s="150"/>
      <c r="S129" s="132">
        <v>15000</v>
      </c>
      <c r="T129" s="132">
        <v>0</v>
      </c>
      <c r="U129" s="132">
        <v>0</v>
      </c>
      <c r="V129" s="132">
        <v>0</v>
      </c>
      <c r="W129" s="132">
        <v>0</v>
      </c>
      <c r="X129" s="132">
        <v>0</v>
      </c>
      <c r="Y129" s="111">
        <v>15000</v>
      </c>
      <c r="Z129" s="133">
        <f t="shared" si="23"/>
        <v>15000</v>
      </c>
      <c r="AA129" s="133">
        <f t="shared" si="24"/>
        <v>0</v>
      </c>
      <c r="AB129" s="141"/>
      <c r="AC129" s="132">
        <v>15000</v>
      </c>
      <c r="AD129" s="132">
        <v>0</v>
      </c>
      <c r="AE129" s="132">
        <v>0</v>
      </c>
      <c r="AF129" s="132">
        <v>0</v>
      </c>
      <c r="AG129" s="132">
        <v>0</v>
      </c>
      <c r="AH129" s="132"/>
      <c r="AI129" s="111">
        <v>15000</v>
      </c>
      <c r="AJ129" s="134">
        <f t="shared" si="19"/>
        <v>15000</v>
      </c>
      <c r="AK129" s="134">
        <f t="shared" si="14"/>
        <v>0</v>
      </c>
      <c r="AL129" s="142"/>
      <c r="AM129" s="132">
        <v>0</v>
      </c>
      <c r="AN129" s="132">
        <v>0</v>
      </c>
      <c r="AO129" s="132">
        <v>0</v>
      </c>
      <c r="AP129" s="132">
        <v>0</v>
      </c>
      <c r="AQ129" s="132">
        <v>0</v>
      </c>
      <c r="AR129" s="132">
        <v>0</v>
      </c>
      <c r="AS129" s="116">
        <v>0</v>
      </c>
      <c r="AT129" s="134">
        <f t="shared" si="22"/>
        <v>0</v>
      </c>
      <c r="AU129" s="134">
        <f t="shared" si="15"/>
        <v>0</v>
      </c>
      <c r="AV129" s="142"/>
      <c r="AW129" s="135"/>
      <c r="AX129" s="135"/>
      <c r="AY129" s="135"/>
      <c r="AZ129" s="135"/>
      <c r="BA129" s="135"/>
      <c r="BB129" s="116"/>
      <c r="BC129" s="113"/>
      <c r="BD129" s="116"/>
      <c r="BE129" s="113"/>
      <c r="BF129" s="116"/>
      <c r="BG129" s="116"/>
      <c r="BH129" s="137">
        <f t="shared" si="16"/>
        <v>30000</v>
      </c>
      <c r="BI129" s="138">
        <f t="shared" si="17"/>
        <v>0</v>
      </c>
      <c r="BJ129" s="126" t="s">
        <v>999</v>
      </c>
      <c r="BK129" s="91"/>
    </row>
    <row r="130" spans="1:63" ht="15.75">
      <c r="A130" s="123">
        <v>501337</v>
      </c>
      <c r="B130" s="126">
        <v>208379</v>
      </c>
      <c r="C130" s="124" t="s">
        <v>1001</v>
      </c>
      <c r="D130" s="124" t="s">
        <v>1002</v>
      </c>
      <c r="E130" s="125" t="s">
        <v>1000</v>
      </c>
      <c r="F130" s="124" t="s">
        <v>92</v>
      </c>
      <c r="G130" s="127" t="s">
        <v>46</v>
      </c>
      <c r="H130" s="126" t="s">
        <v>628</v>
      </c>
      <c r="I130" s="126" t="s">
        <v>723</v>
      </c>
      <c r="J130" s="126" t="s">
        <v>874</v>
      </c>
      <c r="K130" s="128" t="s">
        <v>875</v>
      </c>
      <c r="L130" s="121" t="s">
        <v>515</v>
      </c>
      <c r="M130" s="123" t="s">
        <v>1003</v>
      </c>
      <c r="N130" s="129">
        <v>42614</v>
      </c>
      <c r="O130" s="129">
        <v>43708</v>
      </c>
      <c r="P130" s="129">
        <v>44144</v>
      </c>
      <c r="Q130" s="130">
        <f>165000-47.3-70.84</f>
        <v>164881.86000000002</v>
      </c>
      <c r="R130" s="113"/>
      <c r="S130" s="132">
        <v>36000</v>
      </c>
      <c r="T130" s="132">
        <v>0</v>
      </c>
      <c r="U130" s="132">
        <v>19000</v>
      </c>
      <c r="V130" s="132"/>
      <c r="W130" s="132">
        <v>0</v>
      </c>
      <c r="X130" s="132">
        <v>0</v>
      </c>
      <c r="Y130" s="111">
        <v>55000</v>
      </c>
      <c r="Z130" s="133">
        <f t="shared" si="23"/>
        <v>55000</v>
      </c>
      <c r="AA130" s="133">
        <f t="shared" si="24"/>
        <v>0</v>
      </c>
      <c r="AB130" s="141"/>
      <c r="AC130" s="132">
        <v>36000</v>
      </c>
      <c r="AD130" s="132">
        <v>0</v>
      </c>
      <c r="AE130" s="132">
        <v>19000</v>
      </c>
      <c r="AF130" s="132">
        <v>0</v>
      </c>
      <c r="AG130" s="132">
        <v>0</v>
      </c>
      <c r="AH130" s="132"/>
      <c r="AI130" s="111">
        <v>55000</v>
      </c>
      <c r="AJ130" s="134">
        <f t="shared" si="19"/>
        <v>55000</v>
      </c>
      <c r="AK130" s="134">
        <f t="shared" ref="AK130:AK193" si="25">AJ130-AI130</f>
        <v>0</v>
      </c>
      <c r="AL130" s="142"/>
      <c r="AM130" s="135">
        <v>36000</v>
      </c>
      <c r="AN130" s="135">
        <v>0</v>
      </c>
      <c r="AO130" s="135">
        <f>19000-47.3-70.84</f>
        <v>18881.86</v>
      </c>
      <c r="AP130" s="135"/>
      <c r="AQ130" s="135">
        <v>0</v>
      </c>
      <c r="AR130" s="135">
        <v>0</v>
      </c>
      <c r="AS130" s="116">
        <v>54881.86</v>
      </c>
      <c r="AT130" s="134">
        <f t="shared" si="22"/>
        <v>54881.86</v>
      </c>
      <c r="AU130" s="134">
        <f t="shared" ref="AU130:AU193" si="26">AT130-AS130</f>
        <v>0</v>
      </c>
      <c r="AV130" s="142"/>
      <c r="AW130" s="135"/>
      <c r="AX130" s="135"/>
      <c r="AY130" s="135"/>
      <c r="AZ130" s="135"/>
      <c r="BA130" s="135"/>
      <c r="BB130" s="116"/>
      <c r="BC130" s="113"/>
      <c r="BD130" s="116"/>
      <c r="BE130" s="113"/>
      <c r="BF130" s="116"/>
      <c r="BG130" s="116"/>
      <c r="BH130" s="137">
        <f t="shared" ref="BH130:BH193" si="27">SUM(AS130,AI130,Y130,BB130,BD130,BF130,BG130)</f>
        <v>164881.85999999999</v>
      </c>
      <c r="BI130" s="138">
        <f t="shared" ref="BI130:BI193" si="28">BH130-Q130</f>
        <v>0</v>
      </c>
      <c r="BJ130" s="126"/>
      <c r="BK130" s="91"/>
    </row>
    <row r="131" spans="1:63" ht="15.75">
      <c r="A131" s="123">
        <v>501339</v>
      </c>
      <c r="B131" s="126">
        <v>208379</v>
      </c>
      <c r="C131" s="124" t="s">
        <v>1001</v>
      </c>
      <c r="D131" s="124" t="s">
        <v>1002</v>
      </c>
      <c r="E131" s="125" t="s">
        <v>1000</v>
      </c>
      <c r="F131" s="124" t="s">
        <v>92</v>
      </c>
      <c r="G131" s="127" t="s">
        <v>46</v>
      </c>
      <c r="H131" s="126" t="s">
        <v>628</v>
      </c>
      <c r="I131" s="126" t="s">
        <v>723</v>
      </c>
      <c r="J131" s="126" t="s">
        <v>874</v>
      </c>
      <c r="K131" s="128" t="s">
        <v>875</v>
      </c>
      <c r="L131" s="121" t="s">
        <v>515</v>
      </c>
      <c r="M131" s="123" t="s">
        <v>857</v>
      </c>
      <c r="N131" s="129">
        <v>42614</v>
      </c>
      <c r="O131" s="129">
        <v>43951</v>
      </c>
      <c r="P131" s="129">
        <v>44117</v>
      </c>
      <c r="Q131" s="130">
        <f>312500-4.21-338.46</f>
        <v>312157.32999999996</v>
      </c>
      <c r="R131" s="113"/>
      <c r="S131" s="132">
        <v>76000</v>
      </c>
      <c r="T131" s="132">
        <v>8000</v>
      </c>
      <c r="U131" s="132">
        <v>18500</v>
      </c>
      <c r="V131" s="132"/>
      <c r="W131" s="132">
        <v>28000</v>
      </c>
      <c r="X131" s="132">
        <v>0</v>
      </c>
      <c r="Y131" s="111">
        <v>130500</v>
      </c>
      <c r="Z131" s="133">
        <f t="shared" si="23"/>
        <v>130500</v>
      </c>
      <c r="AA131" s="133">
        <f t="shared" si="24"/>
        <v>0</v>
      </c>
      <c r="AB131" s="141"/>
      <c r="AC131" s="132">
        <v>76000</v>
      </c>
      <c r="AD131" s="132">
        <v>0</v>
      </c>
      <c r="AE131" s="132">
        <v>15000</v>
      </c>
      <c r="AF131" s="132">
        <v>0</v>
      </c>
      <c r="AG131" s="132">
        <v>0</v>
      </c>
      <c r="AH131" s="132"/>
      <c r="AI131" s="111">
        <v>91000</v>
      </c>
      <c r="AJ131" s="134">
        <f t="shared" si="19"/>
        <v>91000</v>
      </c>
      <c r="AK131" s="134">
        <f t="shared" si="25"/>
        <v>0</v>
      </c>
      <c r="AL131" s="142"/>
      <c r="AM131" s="135">
        <f>76000+47.52</f>
        <v>76047.520000000004</v>
      </c>
      <c r="AN131" s="135">
        <v>0</v>
      </c>
      <c r="AO131" s="135">
        <f>15000-4.21-47.52-338.46</f>
        <v>14609.810000000001</v>
      </c>
      <c r="AP131" s="135"/>
      <c r="AQ131" s="135">
        <v>0</v>
      </c>
      <c r="AR131" s="135">
        <v>0</v>
      </c>
      <c r="AS131" s="116">
        <v>90657.33</v>
      </c>
      <c r="AT131" s="134">
        <f t="shared" si="22"/>
        <v>90657.33</v>
      </c>
      <c r="AU131" s="134">
        <f t="shared" si="26"/>
        <v>0</v>
      </c>
      <c r="AV131" s="142"/>
      <c r="AW131" s="135"/>
      <c r="AX131" s="135"/>
      <c r="AY131" s="135"/>
      <c r="AZ131" s="135"/>
      <c r="BA131" s="135"/>
      <c r="BB131" s="116"/>
      <c r="BC131" s="113"/>
      <c r="BD131" s="116"/>
      <c r="BE131" s="113"/>
      <c r="BF131" s="116"/>
      <c r="BG131" s="116"/>
      <c r="BH131" s="137">
        <f t="shared" si="27"/>
        <v>312157.33</v>
      </c>
      <c r="BI131" s="138">
        <f t="shared" si="28"/>
        <v>0</v>
      </c>
      <c r="BJ131" s="126"/>
      <c r="BK131" s="91"/>
    </row>
    <row r="132" spans="1:63" ht="15.75">
      <c r="A132" s="123">
        <v>506459</v>
      </c>
      <c r="B132" s="126">
        <v>208379</v>
      </c>
      <c r="C132" s="124" t="s">
        <v>1001</v>
      </c>
      <c r="D132" s="124" t="s">
        <v>1002</v>
      </c>
      <c r="E132" s="125" t="s">
        <v>1000</v>
      </c>
      <c r="F132" s="124" t="s">
        <v>92</v>
      </c>
      <c r="G132" s="127" t="s">
        <v>46</v>
      </c>
      <c r="H132" s="126" t="s">
        <v>628</v>
      </c>
      <c r="I132" s="126" t="s">
        <v>723</v>
      </c>
      <c r="J132" s="126" t="s">
        <v>874</v>
      </c>
      <c r="K132" s="128" t="s">
        <v>875</v>
      </c>
      <c r="L132" s="121" t="s">
        <v>19</v>
      </c>
      <c r="M132" s="123" t="s">
        <v>858</v>
      </c>
      <c r="N132" s="129">
        <v>43556</v>
      </c>
      <c r="O132" s="129">
        <v>44377</v>
      </c>
      <c r="P132" s="129">
        <v>44377</v>
      </c>
      <c r="Q132" s="130">
        <f>46500+21000</f>
        <v>67500</v>
      </c>
      <c r="R132" s="113"/>
      <c r="S132" s="132">
        <v>29000</v>
      </c>
      <c r="T132" s="132">
        <v>0</v>
      </c>
      <c r="U132" s="132">
        <v>17500</v>
      </c>
      <c r="V132" s="132">
        <v>0</v>
      </c>
      <c r="W132" s="132">
        <v>0</v>
      </c>
      <c r="X132" s="132">
        <v>0</v>
      </c>
      <c r="Y132" s="111">
        <v>46500</v>
      </c>
      <c r="Z132" s="133">
        <f t="shared" si="23"/>
        <v>46500</v>
      </c>
      <c r="AA132" s="133">
        <f t="shared" si="24"/>
        <v>0</v>
      </c>
      <c r="AB132" s="141"/>
      <c r="AC132" s="132">
        <v>14500</v>
      </c>
      <c r="AD132" s="132">
        <v>0</v>
      </c>
      <c r="AE132" s="132">
        <v>6500</v>
      </c>
      <c r="AF132" s="132">
        <v>0</v>
      </c>
      <c r="AG132" s="132">
        <v>0</v>
      </c>
      <c r="AH132" s="132">
        <v>0</v>
      </c>
      <c r="AI132" s="111">
        <v>21000</v>
      </c>
      <c r="AJ132" s="134">
        <f t="shared" si="19"/>
        <v>21000</v>
      </c>
      <c r="AK132" s="134">
        <f t="shared" si="25"/>
        <v>0</v>
      </c>
      <c r="AL132" s="145"/>
      <c r="AM132" s="132">
        <v>0</v>
      </c>
      <c r="AN132" s="132">
        <v>0</v>
      </c>
      <c r="AO132" s="132">
        <v>0</v>
      </c>
      <c r="AP132" s="132">
        <v>0</v>
      </c>
      <c r="AQ132" s="132">
        <v>0</v>
      </c>
      <c r="AR132" s="132">
        <v>0</v>
      </c>
      <c r="AS132" s="116"/>
      <c r="AT132" s="134">
        <f t="shared" si="22"/>
        <v>0</v>
      </c>
      <c r="AU132" s="134">
        <f t="shared" si="26"/>
        <v>0</v>
      </c>
      <c r="AV132" s="142"/>
      <c r="AW132" s="135"/>
      <c r="AX132" s="135"/>
      <c r="AY132" s="135"/>
      <c r="AZ132" s="135"/>
      <c r="BA132" s="135"/>
      <c r="BB132" s="116"/>
      <c r="BC132" s="113"/>
      <c r="BD132" s="116"/>
      <c r="BE132" s="113"/>
      <c r="BF132" s="116"/>
      <c r="BG132" s="116"/>
      <c r="BH132" s="137">
        <f t="shared" si="27"/>
        <v>67500</v>
      </c>
      <c r="BI132" s="138">
        <f t="shared" si="28"/>
        <v>0</v>
      </c>
      <c r="BJ132" s="155" t="s">
        <v>821</v>
      </c>
      <c r="BK132" s="91"/>
    </row>
    <row r="133" spans="1:63" ht="15.75">
      <c r="A133" s="123">
        <v>507639</v>
      </c>
      <c r="B133" s="126">
        <v>208379</v>
      </c>
      <c r="C133" s="124" t="s">
        <v>1001</v>
      </c>
      <c r="D133" s="124" t="s">
        <v>1002</v>
      </c>
      <c r="E133" s="125" t="s">
        <v>1000</v>
      </c>
      <c r="F133" s="124" t="s">
        <v>92</v>
      </c>
      <c r="G133" s="127" t="s">
        <v>46</v>
      </c>
      <c r="H133" s="126" t="s">
        <v>628</v>
      </c>
      <c r="I133" s="126" t="s">
        <v>723</v>
      </c>
      <c r="J133" s="126" t="s">
        <v>874</v>
      </c>
      <c r="K133" s="128" t="s">
        <v>875</v>
      </c>
      <c r="L133" s="121" t="s">
        <v>519</v>
      </c>
      <c r="M133" s="123" t="s">
        <v>847</v>
      </c>
      <c r="N133" s="129">
        <v>43709</v>
      </c>
      <c r="O133" s="129">
        <v>44530</v>
      </c>
      <c r="P133" s="129">
        <v>44530</v>
      </c>
      <c r="Q133" s="130">
        <f>80000+80000</f>
        <v>160000</v>
      </c>
      <c r="R133" s="113"/>
      <c r="S133" s="132">
        <v>51030</v>
      </c>
      <c r="T133" s="132"/>
      <c r="U133" s="132">
        <v>28970</v>
      </c>
      <c r="V133" s="132"/>
      <c r="W133" s="132"/>
      <c r="X133" s="132"/>
      <c r="Y133" s="111">
        <v>80000</v>
      </c>
      <c r="Z133" s="133">
        <f t="shared" si="23"/>
        <v>80000</v>
      </c>
      <c r="AA133" s="133">
        <f t="shared" si="24"/>
        <v>0</v>
      </c>
      <c r="AB133" s="141"/>
      <c r="AC133" s="132">
        <v>51030</v>
      </c>
      <c r="AD133" s="132"/>
      <c r="AE133" s="132">
        <v>28970</v>
      </c>
      <c r="AF133" s="132"/>
      <c r="AG133" s="132"/>
      <c r="AH133" s="132"/>
      <c r="AI133" s="111">
        <v>80000</v>
      </c>
      <c r="AJ133" s="134">
        <f t="shared" si="19"/>
        <v>80000</v>
      </c>
      <c r="AK133" s="134">
        <f t="shared" si="25"/>
        <v>0</v>
      </c>
      <c r="AL133" s="142"/>
      <c r="AM133" s="132">
        <v>51030</v>
      </c>
      <c r="AN133" s="132"/>
      <c r="AO133" s="132">
        <v>28970</v>
      </c>
      <c r="AP133" s="132"/>
      <c r="AQ133" s="132"/>
      <c r="AR133" s="132"/>
      <c r="AS133" s="116">
        <f>SUM(AM133:AR133)</f>
        <v>80000</v>
      </c>
      <c r="AT133" s="134">
        <f t="shared" si="22"/>
        <v>80000</v>
      </c>
      <c r="AU133" s="134">
        <f t="shared" si="26"/>
        <v>0</v>
      </c>
      <c r="AV133" s="142"/>
      <c r="AW133" s="135"/>
      <c r="AX133" s="135"/>
      <c r="AY133" s="135"/>
      <c r="AZ133" s="135"/>
      <c r="BA133" s="135"/>
      <c r="BB133" s="116"/>
      <c r="BC133" s="113"/>
      <c r="BD133" s="116"/>
      <c r="BE133" s="113"/>
      <c r="BF133" s="116"/>
      <c r="BG133" s="116"/>
      <c r="BH133" s="137">
        <f t="shared" si="27"/>
        <v>240000</v>
      </c>
      <c r="BI133" s="138">
        <f t="shared" si="28"/>
        <v>80000</v>
      </c>
      <c r="BJ133" s="126"/>
      <c r="BK133" s="91"/>
    </row>
    <row r="134" spans="1:63" ht="15.75">
      <c r="A134" s="123">
        <v>506457</v>
      </c>
      <c r="B134" s="126">
        <v>208406</v>
      </c>
      <c r="C134" s="123" t="s">
        <v>1007</v>
      </c>
      <c r="D134" s="121" t="s">
        <v>1008</v>
      </c>
      <c r="E134" s="125" t="s">
        <v>1005</v>
      </c>
      <c r="F134" s="124" t="s">
        <v>1006</v>
      </c>
      <c r="G134" s="127" t="s">
        <v>68</v>
      </c>
      <c r="H134" s="126" t="s">
        <v>597</v>
      </c>
      <c r="I134" s="126" t="s">
        <v>598</v>
      </c>
      <c r="J134" s="126" t="s">
        <v>683</v>
      </c>
      <c r="K134" s="128" t="s">
        <v>684</v>
      </c>
      <c r="L134" s="121" t="s">
        <v>19</v>
      </c>
      <c r="M134" s="126" t="s">
        <v>1009</v>
      </c>
      <c r="N134" s="129">
        <v>43556</v>
      </c>
      <c r="O134" s="129">
        <v>44377</v>
      </c>
      <c r="P134" s="129">
        <v>44377</v>
      </c>
      <c r="Q134" s="144">
        <v>50000</v>
      </c>
      <c r="R134" s="150"/>
      <c r="S134" s="132">
        <v>20000</v>
      </c>
      <c r="T134" s="132">
        <v>0</v>
      </c>
      <c r="U134" s="132">
        <v>5000</v>
      </c>
      <c r="V134" s="132">
        <v>0</v>
      </c>
      <c r="W134" s="132">
        <v>0</v>
      </c>
      <c r="X134" s="132">
        <v>0</v>
      </c>
      <c r="Y134" s="111">
        <v>25000</v>
      </c>
      <c r="Z134" s="133">
        <f t="shared" si="23"/>
        <v>25000</v>
      </c>
      <c r="AA134" s="133">
        <f t="shared" si="24"/>
        <v>0</v>
      </c>
      <c r="AB134" s="141"/>
      <c r="AC134" s="151">
        <v>20000</v>
      </c>
      <c r="AD134" s="151">
        <v>0</v>
      </c>
      <c r="AE134" s="151">
        <v>0</v>
      </c>
      <c r="AF134" s="151">
        <v>0</v>
      </c>
      <c r="AG134" s="151">
        <v>5000</v>
      </c>
      <c r="AH134" s="151">
        <v>0</v>
      </c>
      <c r="AI134" s="111">
        <v>25000</v>
      </c>
      <c r="AJ134" s="134">
        <f t="shared" si="19"/>
        <v>25000</v>
      </c>
      <c r="AK134" s="134">
        <f t="shared" si="25"/>
        <v>0</v>
      </c>
      <c r="AL134" s="145"/>
      <c r="AM134" s="132">
        <v>0</v>
      </c>
      <c r="AN134" s="132">
        <v>0</v>
      </c>
      <c r="AO134" s="132">
        <v>0</v>
      </c>
      <c r="AP134" s="132">
        <v>0</v>
      </c>
      <c r="AQ134" s="132">
        <v>0</v>
      </c>
      <c r="AR134" s="132">
        <v>0</v>
      </c>
      <c r="AS134" s="116"/>
      <c r="AT134" s="134">
        <f t="shared" si="22"/>
        <v>0</v>
      </c>
      <c r="AU134" s="134">
        <f t="shared" si="26"/>
        <v>0</v>
      </c>
      <c r="AV134" s="121"/>
      <c r="AW134" s="153"/>
      <c r="AX134" s="153"/>
      <c r="AY134" s="153"/>
      <c r="AZ134" s="153"/>
      <c r="BA134" s="153"/>
      <c r="BB134" s="154"/>
      <c r="BC134" s="99"/>
      <c r="BD134" s="154"/>
      <c r="BE134" s="99"/>
      <c r="BF134" s="154"/>
      <c r="BG134" s="154"/>
      <c r="BH134" s="137">
        <f t="shared" si="27"/>
        <v>50000</v>
      </c>
      <c r="BI134" s="138">
        <f t="shared" si="28"/>
        <v>0</v>
      </c>
      <c r="BJ134" s="155" t="s">
        <v>821</v>
      </c>
      <c r="BK134" s="91"/>
    </row>
    <row r="135" spans="1:63" ht="15.75">
      <c r="A135" s="123">
        <v>501334</v>
      </c>
      <c r="B135" s="126">
        <v>208475</v>
      </c>
      <c r="C135" s="121" t="s">
        <v>1012</v>
      </c>
      <c r="D135" s="121" t="s">
        <v>1013</v>
      </c>
      <c r="E135" s="125" t="s">
        <v>1010</v>
      </c>
      <c r="F135" s="124" t="s">
        <v>1011</v>
      </c>
      <c r="G135" s="127" t="s">
        <v>53</v>
      </c>
      <c r="H135" s="123" t="s">
        <v>628</v>
      </c>
      <c r="I135" s="126" t="s">
        <v>598</v>
      </c>
      <c r="J135" s="126" t="s">
        <v>730</v>
      </c>
      <c r="K135" s="128" t="s">
        <v>735</v>
      </c>
      <c r="L135" s="121" t="s">
        <v>515</v>
      </c>
      <c r="M135" s="123" t="s">
        <v>840</v>
      </c>
      <c r="N135" s="129">
        <v>42614</v>
      </c>
      <c r="O135" s="129">
        <v>43708</v>
      </c>
      <c r="P135" s="129">
        <v>44144</v>
      </c>
      <c r="Q135" s="144">
        <v>240000</v>
      </c>
      <c r="R135" s="150"/>
      <c r="S135" s="132">
        <v>80000</v>
      </c>
      <c r="T135" s="132">
        <v>0</v>
      </c>
      <c r="U135" s="132">
        <v>0</v>
      </c>
      <c r="V135" s="132"/>
      <c r="W135" s="132">
        <v>0</v>
      </c>
      <c r="X135" s="132">
        <v>0</v>
      </c>
      <c r="Y135" s="111">
        <v>80000</v>
      </c>
      <c r="Z135" s="133">
        <f t="shared" si="23"/>
        <v>80000</v>
      </c>
      <c r="AA135" s="133">
        <f t="shared" si="24"/>
        <v>0</v>
      </c>
      <c r="AB135" s="141"/>
      <c r="AC135" s="132">
        <v>80000</v>
      </c>
      <c r="AD135" s="132">
        <v>0</v>
      </c>
      <c r="AE135" s="132">
        <v>0</v>
      </c>
      <c r="AF135" s="132">
        <v>0</v>
      </c>
      <c r="AG135" s="132">
        <v>0</v>
      </c>
      <c r="AH135" s="132"/>
      <c r="AI135" s="111">
        <v>80000</v>
      </c>
      <c r="AJ135" s="134">
        <f t="shared" si="19"/>
        <v>80000</v>
      </c>
      <c r="AK135" s="134">
        <f t="shared" si="25"/>
        <v>0</v>
      </c>
      <c r="AL135" s="142"/>
      <c r="AM135" s="135">
        <v>80000</v>
      </c>
      <c r="AN135" s="135">
        <v>0</v>
      </c>
      <c r="AO135" s="135">
        <v>0</v>
      </c>
      <c r="AP135" s="135"/>
      <c r="AQ135" s="135">
        <v>0</v>
      </c>
      <c r="AR135" s="135">
        <v>0</v>
      </c>
      <c r="AS135" s="116">
        <v>80000</v>
      </c>
      <c r="AT135" s="134">
        <f t="shared" si="22"/>
        <v>80000</v>
      </c>
      <c r="AU135" s="134">
        <f t="shared" si="26"/>
        <v>0</v>
      </c>
      <c r="AV135" s="142"/>
      <c r="AW135" s="135"/>
      <c r="AX135" s="135"/>
      <c r="AY135" s="135"/>
      <c r="AZ135" s="135"/>
      <c r="BA135" s="135"/>
      <c r="BB135" s="116"/>
      <c r="BC135" s="113"/>
      <c r="BD135" s="116"/>
      <c r="BE135" s="113"/>
      <c r="BF135" s="116"/>
      <c r="BG135" s="116"/>
      <c r="BH135" s="137">
        <f t="shared" si="27"/>
        <v>240000</v>
      </c>
      <c r="BI135" s="138">
        <f t="shared" si="28"/>
        <v>0</v>
      </c>
      <c r="BJ135" s="147"/>
      <c r="BK135" s="91"/>
    </row>
    <row r="136" spans="1:63" ht="15.75">
      <c r="A136" s="123">
        <v>507643</v>
      </c>
      <c r="B136" s="126">
        <v>208489</v>
      </c>
      <c r="C136" s="124" t="s">
        <v>1015</v>
      </c>
      <c r="D136" s="124" t="s">
        <v>1016</v>
      </c>
      <c r="E136" s="124" t="s">
        <v>1014</v>
      </c>
      <c r="F136" s="124" t="s">
        <v>126</v>
      </c>
      <c r="G136" s="127" t="s">
        <v>68</v>
      </c>
      <c r="H136" s="126" t="s">
        <v>628</v>
      </c>
      <c r="I136" s="126" t="s">
        <v>598</v>
      </c>
      <c r="J136" s="126" t="s">
        <v>888</v>
      </c>
      <c r="K136" s="128" t="s">
        <v>731</v>
      </c>
      <c r="L136" s="121" t="s">
        <v>519</v>
      </c>
      <c r="M136" s="123" t="s">
        <v>716</v>
      </c>
      <c r="N136" s="129">
        <v>43709</v>
      </c>
      <c r="O136" s="129">
        <v>44530</v>
      </c>
      <c r="P136" s="129">
        <v>44530</v>
      </c>
      <c r="Q136" s="130">
        <f>72000+75000</f>
        <v>147000</v>
      </c>
      <c r="R136" s="113"/>
      <c r="S136" s="132">
        <v>23000</v>
      </c>
      <c r="T136" s="132"/>
      <c r="U136" s="132">
        <v>14000</v>
      </c>
      <c r="V136" s="132"/>
      <c r="W136" s="132">
        <v>15000</v>
      </c>
      <c r="X136" s="132"/>
      <c r="Y136" s="111">
        <v>52000</v>
      </c>
      <c r="Z136" s="133">
        <f t="shared" si="23"/>
        <v>52000</v>
      </c>
      <c r="AA136" s="133">
        <f t="shared" si="24"/>
        <v>0</v>
      </c>
      <c r="AB136" s="141"/>
      <c r="AC136" s="132">
        <v>53000</v>
      </c>
      <c r="AD136" s="132"/>
      <c r="AE136" s="132">
        <v>27000</v>
      </c>
      <c r="AF136" s="132"/>
      <c r="AG136" s="132">
        <v>15000</v>
      </c>
      <c r="AH136" s="132"/>
      <c r="AI136" s="111">
        <v>95000</v>
      </c>
      <c r="AJ136" s="134">
        <f t="shared" si="19"/>
        <v>95000</v>
      </c>
      <c r="AK136" s="134">
        <f t="shared" si="25"/>
        <v>0</v>
      </c>
      <c r="AL136" s="142"/>
      <c r="AM136" s="132">
        <v>43000</v>
      </c>
      <c r="AN136" s="132"/>
      <c r="AO136" s="132">
        <v>17000</v>
      </c>
      <c r="AP136" s="132"/>
      <c r="AQ136" s="132">
        <v>13000</v>
      </c>
      <c r="AR136" s="135"/>
      <c r="AS136" s="116">
        <f>SUM(AM136:AR136)</f>
        <v>73000</v>
      </c>
      <c r="AT136" s="134">
        <f t="shared" si="22"/>
        <v>73000</v>
      </c>
      <c r="AU136" s="134">
        <f t="shared" si="26"/>
        <v>0</v>
      </c>
      <c r="AV136" s="142"/>
      <c r="AW136" s="135"/>
      <c r="AX136" s="135"/>
      <c r="AY136" s="135"/>
      <c r="AZ136" s="135"/>
      <c r="BA136" s="135"/>
      <c r="BB136" s="116"/>
      <c r="BC136" s="113"/>
      <c r="BD136" s="116"/>
      <c r="BE136" s="113"/>
      <c r="BF136" s="116"/>
      <c r="BG136" s="116"/>
      <c r="BH136" s="137">
        <f t="shared" si="27"/>
        <v>220000</v>
      </c>
      <c r="BI136" s="138">
        <f t="shared" si="28"/>
        <v>73000</v>
      </c>
      <c r="BJ136" s="126" t="s">
        <v>1017</v>
      </c>
      <c r="BK136" s="91"/>
    </row>
    <row r="137" spans="1:63" ht="15.75">
      <c r="A137" s="181">
        <v>509666</v>
      </c>
      <c r="B137" s="126">
        <v>208489</v>
      </c>
      <c r="C137" s="148" t="s">
        <v>1015</v>
      </c>
      <c r="D137" s="148" t="s">
        <v>1016</v>
      </c>
      <c r="E137" s="124" t="s">
        <v>1014</v>
      </c>
      <c r="F137" s="124" t="s">
        <v>126</v>
      </c>
      <c r="G137" s="127" t="s">
        <v>68</v>
      </c>
      <c r="H137" s="149" t="s">
        <v>628</v>
      </c>
      <c r="I137" s="126" t="s">
        <v>598</v>
      </c>
      <c r="J137" s="126" t="s">
        <v>888</v>
      </c>
      <c r="K137" s="128" t="s">
        <v>731</v>
      </c>
      <c r="L137" s="121" t="s">
        <v>19</v>
      </c>
      <c r="M137" s="123" t="s">
        <v>1018</v>
      </c>
      <c r="N137" s="129">
        <v>44044</v>
      </c>
      <c r="O137" s="129">
        <v>44408</v>
      </c>
      <c r="P137" s="129">
        <v>44408</v>
      </c>
      <c r="Q137" s="130">
        <v>33000</v>
      </c>
      <c r="R137" s="113"/>
      <c r="S137" s="132">
        <v>15000</v>
      </c>
      <c r="T137" s="132">
        <v>0</v>
      </c>
      <c r="U137" s="132">
        <v>13000</v>
      </c>
      <c r="V137" s="132">
        <v>0</v>
      </c>
      <c r="W137" s="132">
        <v>5000</v>
      </c>
      <c r="X137" s="132">
        <v>0</v>
      </c>
      <c r="Y137" s="111">
        <v>33000</v>
      </c>
      <c r="Z137" s="133">
        <f t="shared" si="23"/>
        <v>33000</v>
      </c>
      <c r="AA137" s="133">
        <f t="shared" si="24"/>
        <v>0</v>
      </c>
      <c r="AB137" s="141"/>
      <c r="AC137" s="132">
        <v>0</v>
      </c>
      <c r="AD137" s="132">
        <v>0</v>
      </c>
      <c r="AE137" s="132">
        <v>10000</v>
      </c>
      <c r="AF137" s="132">
        <v>0</v>
      </c>
      <c r="AG137" s="132">
        <v>5000</v>
      </c>
      <c r="AH137" s="132">
        <v>0</v>
      </c>
      <c r="AI137" s="111">
        <v>15000</v>
      </c>
      <c r="AJ137" s="134">
        <f t="shared" si="19"/>
        <v>15000</v>
      </c>
      <c r="AK137" s="134">
        <f t="shared" si="25"/>
        <v>0</v>
      </c>
      <c r="AL137" s="142"/>
      <c r="AM137" s="132">
        <v>0</v>
      </c>
      <c r="AN137" s="132">
        <v>0</v>
      </c>
      <c r="AO137" s="132">
        <v>0</v>
      </c>
      <c r="AP137" s="132">
        <v>0</v>
      </c>
      <c r="AQ137" s="132">
        <v>0</v>
      </c>
      <c r="AR137" s="132">
        <v>0</v>
      </c>
      <c r="AS137" s="116">
        <v>0</v>
      </c>
      <c r="AT137" s="134">
        <f>SUM(AL137:AS137)</f>
        <v>0</v>
      </c>
      <c r="AU137" s="134">
        <f t="shared" si="26"/>
        <v>0</v>
      </c>
      <c r="AV137" s="142"/>
      <c r="AW137" s="135"/>
      <c r="AX137" s="135"/>
      <c r="AY137" s="135"/>
      <c r="AZ137" s="135"/>
      <c r="BA137" s="135"/>
      <c r="BB137" s="116"/>
      <c r="BC137" s="113"/>
      <c r="BD137" s="116"/>
      <c r="BE137" s="113"/>
      <c r="BF137" s="116"/>
      <c r="BG137" s="116"/>
      <c r="BH137" s="137">
        <f t="shared" si="27"/>
        <v>48000</v>
      </c>
      <c r="BI137" s="138">
        <f t="shared" si="28"/>
        <v>15000</v>
      </c>
      <c r="BJ137" s="126"/>
      <c r="BK137" s="91"/>
    </row>
    <row r="138" spans="1:63" ht="15.75">
      <c r="A138" s="123">
        <v>502316</v>
      </c>
      <c r="B138" s="126">
        <v>208491</v>
      </c>
      <c r="C138" s="149" t="s">
        <v>1021</v>
      </c>
      <c r="D138" s="149" t="s">
        <v>1022</v>
      </c>
      <c r="E138" s="125" t="s">
        <v>1019</v>
      </c>
      <c r="F138" s="124" t="s">
        <v>1020</v>
      </c>
      <c r="G138" s="127" t="s">
        <v>68</v>
      </c>
      <c r="H138" s="149" t="s">
        <v>597</v>
      </c>
      <c r="I138" s="126" t="s">
        <v>598</v>
      </c>
      <c r="J138" s="126" t="s">
        <v>730</v>
      </c>
      <c r="K138" s="128" t="s">
        <v>735</v>
      </c>
      <c r="L138" s="121" t="s">
        <v>652</v>
      </c>
      <c r="M138" s="123" t="s">
        <v>1023</v>
      </c>
      <c r="N138" s="129">
        <v>42826</v>
      </c>
      <c r="O138" s="129">
        <v>43190</v>
      </c>
      <c r="P138" s="129">
        <v>43190</v>
      </c>
      <c r="Q138" s="144">
        <v>66774</v>
      </c>
      <c r="R138" s="150"/>
      <c r="S138" s="132">
        <v>34611</v>
      </c>
      <c r="T138" s="132">
        <v>22065</v>
      </c>
      <c r="U138" s="132">
        <v>6480</v>
      </c>
      <c r="V138" s="132"/>
      <c r="W138" s="132">
        <v>3698</v>
      </c>
      <c r="X138" s="132"/>
      <c r="Y138" s="111">
        <v>66774</v>
      </c>
      <c r="Z138" s="133">
        <f t="shared" si="23"/>
        <v>66854</v>
      </c>
      <c r="AA138" s="133">
        <f t="shared" si="24"/>
        <v>80</v>
      </c>
      <c r="AB138" s="141"/>
      <c r="AC138" s="132" t="s">
        <v>602</v>
      </c>
      <c r="AD138" s="132" t="s">
        <v>602</v>
      </c>
      <c r="AE138" s="132" t="s">
        <v>602</v>
      </c>
      <c r="AF138" s="132" t="s">
        <v>602</v>
      </c>
      <c r="AG138" s="132" t="s">
        <v>602</v>
      </c>
      <c r="AH138" s="132"/>
      <c r="AI138" s="111">
        <v>0</v>
      </c>
      <c r="AJ138" s="134">
        <f t="shared" si="19"/>
        <v>0</v>
      </c>
      <c r="AK138" s="134">
        <f t="shared" si="25"/>
        <v>0</v>
      </c>
      <c r="AL138" s="142"/>
      <c r="AM138" s="132">
        <v>0</v>
      </c>
      <c r="AN138" s="132">
        <v>0</v>
      </c>
      <c r="AO138" s="132">
        <v>0</v>
      </c>
      <c r="AP138" s="132">
        <v>0</v>
      </c>
      <c r="AQ138" s="132">
        <v>0</v>
      </c>
      <c r="AR138" s="132">
        <v>0</v>
      </c>
      <c r="AS138" s="116">
        <v>0</v>
      </c>
      <c r="AT138" s="134">
        <f t="shared" ref="AT138:AT169" si="29">SUM(AL138:AR138)</f>
        <v>0</v>
      </c>
      <c r="AU138" s="134">
        <f t="shared" si="26"/>
        <v>0</v>
      </c>
      <c r="AV138" s="142"/>
      <c r="AW138" s="135"/>
      <c r="AX138" s="135"/>
      <c r="AY138" s="135"/>
      <c r="AZ138" s="135"/>
      <c r="BA138" s="135"/>
      <c r="BB138" s="116"/>
      <c r="BC138" s="113"/>
      <c r="BD138" s="116"/>
      <c r="BE138" s="113"/>
      <c r="BF138" s="116"/>
      <c r="BG138" s="116"/>
      <c r="BH138" s="137">
        <f t="shared" si="27"/>
        <v>66774</v>
      </c>
      <c r="BI138" s="138">
        <f t="shared" si="28"/>
        <v>0</v>
      </c>
      <c r="BJ138" s="124" t="s">
        <v>1024</v>
      </c>
      <c r="BK138" s="91"/>
    </row>
    <row r="139" spans="1:63" ht="15.75">
      <c r="A139" s="123">
        <v>500740</v>
      </c>
      <c r="B139" s="126">
        <v>208607</v>
      </c>
      <c r="C139" s="148" t="s">
        <v>1026</v>
      </c>
      <c r="D139" s="148" t="s">
        <v>1027</v>
      </c>
      <c r="E139" s="125" t="s">
        <v>1025</v>
      </c>
      <c r="F139" s="124" t="s">
        <v>281</v>
      </c>
      <c r="G139" s="127" t="s">
        <v>53</v>
      </c>
      <c r="H139" s="149" t="s">
        <v>597</v>
      </c>
      <c r="I139" s="126" t="s">
        <v>598</v>
      </c>
      <c r="J139" s="126" t="s">
        <v>645</v>
      </c>
      <c r="K139" s="128" t="s">
        <v>666</v>
      </c>
      <c r="L139" s="121" t="s">
        <v>637</v>
      </c>
      <c r="M139" s="123" t="s">
        <v>638</v>
      </c>
      <c r="N139" s="129">
        <v>42248</v>
      </c>
      <c r="O139" s="129">
        <v>42643</v>
      </c>
      <c r="P139" s="129">
        <v>42643</v>
      </c>
      <c r="Q139" s="144">
        <v>40000</v>
      </c>
      <c r="R139" s="132">
        <v>40000</v>
      </c>
      <c r="S139" s="132"/>
      <c r="T139" s="132">
        <v>0</v>
      </c>
      <c r="U139" s="132">
        <v>0</v>
      </c>
      <c r="V139" s="132"/>
      <c r="W139" s="132">
        <v>0</v>
      </c>
      <c r="X139" s="132">
        <v>0</v>
      </c>
      <c r="Y139" s="111">
        <v>40000</v>
      </c>
      <c r="Z139" s="133">
        <f t="shared" si="23"/>
        <v>40000</v>
      </c>
      <c r="AA139" s="133">
        <f t="shared" si="24"/>
        <v>0</v>
      </c>
      <c r="AB139" s="141"/>
      <c r="AC139" s="132" t="s">
        <v>602</v>
      </c>
      <c r="AD139" s="132" t="s">
        <v>602</v>
      </c>
      <c r="AE139" s="132" t="s">
        <v>602</v>
      </c>
      <c r="AF139" s="132" t="s">
        <v>602</v>
      </c>
      <c r="AG139" s="132" t="s">
        <v>602</v>
      </c>
      <c r="AH139" s="132"/>
      <c r="AI139" s="111">
        <v>0</v>
      </c>
      <c r="AJ139" s="134">
        <f t="shared" si="19"/>
        <v>0</v>
      </c>
      <c r="AK139" s="134">
        <f t="shared" si="25"/>
        <v>0</v>
      </c>
      <c r="AL139" s="142"/>
      <c r="AM139" s="132" t="s">
        <v>602</v>
      </c>
      <c r="AN139" s="132" t="s">
        <v>602</v>
      </c>
      <c r="AO139" s="132" t="s">
        <v>602</v>
      </c>
      <c r="AP139" s="132" t="s">
        <v>602</v>
      </c>
      <c r="AQ139" s="132" t="s">
        <v>602</v>
      </c>
      <c r="AR139" s="135" t="s">
        <v>602</v>
      </c>
      <c r="AS139" s="116">
        <v>0</v>
      </c>
      <c r="AT139" s="134">
        <f t="shared" si="29"/>
        <v>0</v>
      </c>
      <c r="AU139" s="134">
        <f t="shared" si="26"/>
        <v>0</v>
      </c>
      <c r="AV139" s="142"/>
      <c r="AW139" s="132" t="s">
        <v>602</v>
      </c>
      <c r="AX139" s="132" t="s">
        <v>602</v>
      </c>
      <c r="AY139" s="132" t="s">
        <v>602</v>
      </c>
      <c r="AZ139" s="132" t="s">
        <v>602</v>
      </c>
      <c r="BA139" s="132" t="s">
        <v>602</v>
      </c>
      <c r="BB139" s="116"/>
      <c r="BC139" s="113"/>
      <c r="BD139" s="116"/>
      <c r="BE139" s="113"/>
      <c r="BF139" s="116"/>
      <c r="BG139" s="116"/>
      <c r="BH139" s="137">
        <f t="shared" si="27"/>
        <v>40000</v>
      </c>
      <c r="BI139" s="138">
        <f t="shared" si="28"/>
        <v>0</v>
      </c>
      <c r="BJ139" s="147"/>
      <c r="BK139" s="91"/>
    </row>
    <row r="140" spans="1:63" ht="15.75">
      <c r="A140" s="123">
        <v>501344</v>
      </c>
      <c r="B140" s="126">
        <v>208607</v>
      </c>
      <c r="C140" s="148" t="s">
        <v>1026</v>
      </c>
      <c r="D140" s="148" t="s">
        <v>1027</v>
      </c>
      <c r="E140" s="125" t="s">
        <v>1025</v>
      </c>
      <c r="F140" s="124" t="s">
        <v>281</v>
      </c>
      <c r="G140" s="127" t="s">
        <v>53</v>
      </c>
      <c r="H140" s="149" t="s">
        <v>628</v>
      </c>
      <c r="I140" s="126" t="s">
        <v>598</v>
      </c>
      <c r="J140" s="126" t="s">
        <v>645</v>
      </c>
      <c r="K140" s="128" t="s">
        <v>666</v>
      </c>
      <c r="L140" s="121" t="s">
        <v>515</v>
      </c>
      <c r="M140" s="123" t="s">
        <v>667</v>
      </c>
      <c r="N140" s="129">
        <v>42614</v>
      </c>
      <c r="O140" s="129">
        <v>43708</v>
      </c>
      <c r="P140" s="129">
        <v>43708</v>
      </c>
      <c r="Q140" s="144">
        <v>358563</v>
      </c>
      <c r="R140" s="150"/>
      <c r="S140" s="132">
        <v>39400</v>
      </c>
      <c r="T140" s="132">
        <v>0</v>
      </c>
      <c r="U140" s="132">
        <v>16850</v>
      </c>
      <c r="V140" s="132"/>
      <c r="W140" s="132">
        <v>15500</v>
      </c>
      <c r="X140" s="132">
        <v>0</v>
      </c>
      <c r="Y140" s="111">
        <v>71750</v>
      </c>
      <c r="Z140" s="133">
        <f t="shared" si="23"/>
        <v>71750</v>
      </c>
      <c r="AA140" s="133">
        <f t="shared" si="24"/>
        <v>0</v>
      </c>
      <c r="AB140" s="141"/>
      <c r="AC140" s="132">
        <v>79400</v>
      </c>
      <c r="AD140" s="132">
        <v>0</v>
      </c>
      <c r="AE140" s="132">
        <v>33100</v>
      </c>
      <c r="AF140" s="132">
        <v>31000</v>
      </c>
      <c r="AG140" s="132">
        <v>0</v>
      </c>
      <c r="AH140" s="132"/>
      <c r="AI140" s="111">
        <v>143500</v>
      </c>
      <c r="AJ140" s="134">
        <f t="shared" si="19"/>
        <v>143500</v>
      </c>
      <c r="AK140" s="134">
        <f t="shared" si="25"/>
        <v>0</v>
      </c>
      <c r="AL140" s="142"/>
      <c r="AM140" s="135">
        <v>81000</v>
      </c>
      <c r="AN140" s="135">
        <v>0</v>
      </c>
      <c r="AO140" s="135">
        <v>31500</v>
      </c>
      <c r="AP140" s="135"/>
      <c r="AQ140" s="135">
        <v>30813</v>
      </c>
      <c r="AR140" s="135">
        <v>0</v>
      </c>
      <c r="AS140" s="116">
        <v>143313</v>
      </c>
      <c r="AT140" s="134">
        <f t="shared" si="29"/>
        <v>143313</v>
      </c>
      <c r="AU140" s="134">
        <f t="shared" si="26"/>
        <v>0</v>
      </c>
      <c r="AV140" s="142"/>
      <c r="AW140" s="135"/>
      <c r="AX140" s="135"/>
      <c r="AY140" s="135"/>
      <c r="AZ140" s="135"/>
      <c r="BA140" s="135"/>
      <c r="BB140" s="116"/>
      <c r="BC140" s="113"/>
      <c r="BD140" s="116"/>
      <c r="BE140" s="113"/>
      <c r="BF140" s="116"/>
      <c r="BG140" s="116"/>
      <c r="BH140" s="137">
        <f t="shared" si="27"/>
        <v>358563</v>
      </c>
      <c r="BI140" s="138">
        <f t="shared" si="28"/>
        <v>0</v>
      </c>
      <c r="BJ140" s="147"/>
      <c r="BK140" s="91"/>
    </row>
    <row r="141" spans="1:63" ht="15.75">
      <c r="A141" s="139">
        <v>507642</v>
      </c>
      <c r="B141" s="126">
        <v>208607</v>
      </c>
      <c r="C141" s="124" t="s">
        <v>1026</v>
      </c>
      <c r="D141" s="124" t="s">
        <v>1027</v>
      </c>
      <c r="E141" s="125" t="s">
        <v>1025</v>
      </c>
      <c r="F141" s="124" t="s">
        <v>281</v>
      </c>
      <c r="G141" s="127" t="s">
        <v>53</v>
      </c>
      <c r="H141" s="126" t="s">
        <v>597</v>
      </c>
      <c r="I141" s="126" t="s">
        <v>598</v>
      </c>
      <c r="J141" s="126" t="s">
        <v>645</v>
      </c>
      <c r="K141" s="128" t="s">
        <v>666</v>
      </c>
      <c r="L141" s="121" t="s">
        <v>519</v>
      </c>
      <c r="M141" s="123" t="s">
        <v>646</v>
      </c>
      <c r="N141" s="129">
        <v>43709</v>
      </c>
      <c r="O141" s="129">
        <v>44530</v>
      </c>
      <c r="P141" s="129">
        <v>44530</v>
      </c>
      <c r="Q141" s="130">
        <f>100000+90000</f>
        <v>190000</v>
      </c>
      <c r="R141" s="113"/>
      <c r="S141" s="132">
        <v>60320</v>
      </c>
      <c r="T141" s="132">
        <v>0</v>
      </c>
      <c r="U141" s="132">
        <v>27300</v>
      </c>
      <c r="V141" s="132">
        <v>2000</v>
      </c>
      <c r="W141" s="132">
        <v>10380</v>
      </c>
      <c r="X141" s="132">
        <v>0</v>
      </c>
      <c r="Y141" s="111">
        <v>100000</v>
      </c>
      <c r="Z141" s="133">
        <f t="shared" si="23"/>
        <v>100000</v>
      </c>
      <c r="AA141" s="133">
        <f t="shared" si="24"/>
        <v>0</v>
      </c>
      <c r="AB141" s="141"/>
      <c r="AC141" s="132">
        <v>50320</v>
      </c>
      <c r="AD141" s="132"/>
      <c r="AE141" s="132">
        <v>27300</v>
      </c>
      <c r="AF141" s="132">
        <v>2000</v>
      </c>
      <c r="AG141" s="132">
        <v>10380</v>
      </c>
      <c r="AH141" s="132">
        <v>0</v>
      </c>
      <c r="AI141" s="111">
        <v>90000</v>
      </c>
      <c r="AJ141" s="134">
        <f t="shared" si="19"/>
        <v>90000</v>
      </c>
      <c r="AK141" s="134">
        <f t="shared" si="25"/>
        <v>0</v>
      </c>
      <c r="AL141" s="142"/>
      <c r="AM141" s="132">
        <v>50320</v>
      </c>
      <c r="AN141" s="132"/>
      <c r="AO141" s="132">
        <v>27300</v>
      </c>
      <c r="AP141" s="132">
        <v>2000</v>
      </c>
      <c r="AQ141" s="132">
        <v>10380</v>
      </c>
      <c r="AR141" s="132">
        <v>0</v>
      </c>
      <c r="AS141" s="116">
        <f>SUM(AM141:AR141)</f>
        <v>90000</v>
      </c>
      <c r="AT141" s="134">
        <f t="shared" si="29"/>
        <v>90000</v>
      </c>
      <c r="AU141" s="134">
        <f t="shared" si="26"/>
        <v>0</v>
      </c>
      <c r="AV141" s="142"/>
      <c r="AW141" s="135"/>
      <c r="AX141" s="135"/>
      <c r="AY141" s="135"/>
      <c r="AZ141" s="135"/>
      <c r="BA141" s="135"/>
      <c r="BB141" s="116"/>
      <c r="BC141" s="113"/>
      <c r="BD141" s="116"/>
      <c r="BE141" s="113"/>
      <c r="BF141" s="116"/>
      <c r="BG141" s="116"/>
      <c r="BH141" s="137">
        <f t="shared" si="27"/>
        <v>280000</v>
      </c>
      <c r="BI141" s="138">
        <f t="shared" si="28"/>
        <v>90000</v>
      </c>
      <c r="BJ141" s="126"/>
      <c r="BK141" s="91"/>
    </row>
    <row r="142" spans="1:63" ht="15.75">
      <c r="A142" s="189">
        <v>509588</v>
      </c>
      <c r="B142" s="126">
        <v>208607</v>
      </c>
      <c r="C142" s="183" t="s">
        <v>1026</v>
      </c>
      <c r="D142" s="124" t="s">
        <v>1027</v>
      </c>
      <c r="E142" s="125" t="s">
        <v>1025</v>
      </c>
      <c r="F142" s="124" t="s">
        <v>281</v>
      </c>
      <c r="G142" s="127" t="s">
        <v>53</v>
      </c>
      <c r="H142" s="126" t="s">
        <v>597</v>
      </c>
      <c r="I142" s="126" t="s">
        <v>598</v>
      </c>
      <c r="J142" s="126" t="s">
        <v>645</v>
      </c>
      <c r="K142" s="190" t="s">
        <v>754</v>
      </c>
      <c r="L142" s="121" t="s">
        <v>517</v>
      </c>
      <c r="M142" s="123" t="s">
        <v>1028</v>
      </c>
      <c r="N142" s="129">
        <v>44013</v>
      </c>
      <c r="O142" s="129">
        <v>44742</v>
      </c>
      <c r="P142" s="129">
        <v>44742</v>
      </c>
      <c r="Q142" s="144">
        <v>75000</v>
      </c>
      <c r="R142" s="113"/>
      <c r="S142" s="132">
        <v>75000</v>
      </c>
      <c r="T142" s="132">
        <v>0</v>
      </c>
      <c r="U142" s="132">
        <v>0</v>
      </c>
      <c r="V142" s="132">
        <v>0</v>
      </c>
      <c r="W142" s="132">
        <v>0</v>
      </c>
      <c r="X142" s="132">
        <v>0</v>
      </c>
      <c r="Y142" s="111">
        <v>75000</v>
      </c>
      <c r="Z142" s="133">
        <f t="shared" si="23"/>
        <v>75000</v>
      </c>
      <c r="AA142" s="133">
        <f t="shared" si="24"/>
        <v>0</v>
      </c>
      <c r="AB142" s="141"/>
      <c r="AC142" s="132">
        <v>75000</v>
      </c>
      <c r="AD142" s="132">
        <v>0</v>
      </c>
      <c r="AE142" s="132">
        <v>0</v>
      </c>
      <c r="AF142" s="132">
        <v>0</v>
      </c>
      <c r="AG142" s="132">
        <v>0</v>
      </c>
      <c r="AH142" s="132">
        <v>0</v>
      </c>
      <c r="AI142" s="111">
        <v>75000</v>
      </c>
      <c r="AJ142" s="134">
        <f t="shared" si="19"/>
        <v>75000</v>
      </c>
      <c r="AK142" s="134">
        <f t="shared" si="25"/>
        <v>0</v>
      </c>
      <c r="AL142" s="142"/>
      <c r="AM142" s="132">
        <v>0</v>
      </c>
      <c r="AN142" s="132">
        <v>0</v>
      </c>
      <c r="AO142" s="132">
        <v>0</v>
      </c>
      <c r="AP142" s="132">
        <v>0</v>
      </c>
      <c r="AQ142" s="132">
        <v>0</v>
      </c>
      <c r="AR142" s="132">
        <v>0</v>
      </c>
      <c r="AS142" s="116"/>
      <c r="AT142" s="134">
        <f t="shared" si="29"/>
        <v>0</v>
      </c>
      <c r="AU142" s="134">
        <f t="shared" si="26"/>
        <v>0</v>
      </c>
      <c r="AV142" s="142"/>
      <c r="AW142" s="135"/>
      <c r="AX142" s="135"/>
      <c r="AY142" s="135"/>
      <c r="AZ142" s="135"/>
      <c r="BA142" s="135"/>
      <c r="BB142" s="116"/>
      <c r="BC142" s="113"/>
      <c r="BD142" s="116"/>
      <c r="BE142" s="113"/>
      <c r="BF142" s="116"/>
      <c r="BG142" s="116"/>
      <c r="BH142" s="137">
        <f t="shared" si="27"/>
        <v>150000</v>
      </c>
      <c r="BI142" s="138">
        <f t="shared" si="28"/>
        <v>75000</v>
      </c>
      <c r="BJ142" s="126"/>
      <c r="BK142" s="91"/>
    </row>
    <row r="143" spans="1:63" ht="15.75">
      <c r="A143" s="123">
        <v>500671</v>
      </c>
      <c r="B143" s="126">
        <v>208609</v>
      </c>
      <c r="C143" s="124" t="s">
        <v>1031</v>
      </c>
      <c r="D143" s="124" t="s">
        <v>1032</v>
      </c>
      <c r="E143" s="125" t="s">
        <v>1030</v>
      </c>
      <c r="F143" s="124" t="s">
        <v>332</v>
      </c>
      <c r="G143" s="127" t="s">
        <v>82</v>
      </c>
      <c r="H143" s="126" t="s">
        <v>597</v>
      </c>
      <c r="I143" s="126" t="s">
        <v>598</v>
      </c>
      <c r="J143" s="126" t="s">
        <v>1033</v>
      </c>
      <c r="K143" s="128" t="s">
        <v>754</v>
      </c>
      <c r="L143" s="121" t="s">
        <v>637</v>
      </c>
      <c r="M143" s="123" t="s">
        <v>638</v>
      </c>
      <c r="N143" s="129">
        <v>42248</v>
      </c>
      <c r="O143" s="129">
        <v>42643</v>
      </c>
      <c r="P143" s="129">
        <v>42901</v>
      </c>
      <c r="Q143" s="130">
        <v>409985</v>
      </c>
      <c r="R143" s="132">
        <v>409985</v>
      </c>
      <c r="S143" s="132"/>
      <c r="T143" s="132">
        <v>0</v>
      </c>
      <c r="U143" s="132">
        <v>0</v>
      </c>
      <c r="V143" s="132"/>
      <c r="W143" s="132">
        <v>0</v>
      </c>
      <c r="X143" s="132">
        <v>0</v>
      </c>
      <c r="Y143" s="111">
        <v>409985</v>
      </c>
      <c r="Z143" s="133">
        <f t="shared" si="23"/>
        <v>409985</v>
      </c>
      <c r="AA143" s="133">
        <f t="shared" si="24"/>
        <v>0</v>
      </c>
      <c r="AB143" s="141"/>
      <c r="AC143" s="132" t="s">
        <v>602</v>
      </c>
      <c r="AD143" s="132" t="s">
        <v>602</v>
      </c>
      <c r="AE143" s="132" t="s">
        <v>602</v>
      </c>
      <c r="AF143" s="132" t="s">
        <v>602</v>
      </c>
      <c r="AG143" s="132" t="s">
        <v>602</v>
      </c>
      <c r="AH143" s="132"/>
      <c r="AI143" s="111">
        <v>0</v>
      </c>
      <c r="AJ143" s="134">
        <f t="shared" si="19"/>
        <v>0</v>
      </c>
      <c r="AK143" s="134">
        <f t="shared" si="25"/>
        <v>0</v>
      </c>
      <c r="AL143" s="142"/>
      <c r="AM143" s="132">
        <v>0</v>
      </c>
      <c r="AN143" s="132">
        <v>0</v>
      </c>
      <c r="AO143" s="132">
        <v>0</v>
      </c>
      <c r="AP143" s="132">
        <v>0</v>
      </c>
      <c r="AQ143" s="132">
        <v>0</v>
      </c>
      <c r="AR143" s="132">
        <v>0</v>
      </c>
      <c r="AS143" s="116">
        <v>0</v>
      </c>
      <c r="AT143" s="134">
        <f t="shared" si="29"/>
        <v>0</v>
      </c>
      <c r="AU143" s="134">
        <f t="shared" si="26"/>
        <v>0</v>
      </c>
      <c r="AV143" s="142"/>
      <c r="AW143" s="132" t="s">
        <v>602</v>
      </c>
      <c r="AX143" s="132" t="s">
        <v>602</v>
      </c>
      <c r="AY143" s="132" t="s">
        <v>602</v>
      </c>
      <c r="AZ143" s="132" t="s">
        <v>602</v>
      </c>
      <c r="BA143" s="132" t="s">
        <v>602</v>
      </c>
      <c r="BB143" s="116"/>
      <c r="BC143" s="113"/>
      <c r="BD143" s="116"/>
      <c r="BE143" s="113"/>
      <c r="BF143" s="116"/>
      <c r="BG143" s="116"/>
      <c r="BH143" s="137">
        <f t="shared" si="27"/>
        <v>409985</v>
      </c>
      <c r="BI143" s="138">
        <f t="shared" si="28"/>
        <v>0</v>
      </c>
      <c r="BJ143" s="126"/>
      <c r="BK143" s="91"/>
    </row>
    <row r="144" spans="1:63" ht="15.75">
      <c r="A144" s="123">
        <v>500699</v>
      </c>
      <c r="B144" s="126">
        <v>208609</v>
      </c>
      <c r="C144" s="124" t="s">
        <v>1031</v>
      </c>
      <c r="D144" s="124" t="s">
        <v>1032</v>
      </c>
      <c r="E144" s="125" t="s">
        <v>1030</v>
      </c>
      <c r="F144" s="124" t="s">
        <v>332</v>
      </c>
      <c r="G144" s="127" t="s">
        <v>82</v>
      </c>
      <c r="H144" s="126" t="s">
        <v>597</v>
      </c>
      <c r="I144" s="126" t="s">
        <v>598</v>
      </c>
      <c r="J144" s="126" t="s">
        <v>1033</v>
      </c>
      <c r="K144" s="128" t="s">
        <v>754</v>
      </c>
      <c r="L144" s="121" t="s">
        <v>1034</v>
      </c>
      <c r="M144" s="123" t="s">
        <v>661</v>
      </c>
      <c r="N144" s="129">
        <v>42461</v>
      </c>
      <c r="O144" s="129">
        <v>43555</v>
      </c>
      <c r="P144" s="129">
        <v>43555</v>
      </c>
      <c r="Q144" s="130">
        <v>75000</v>
      </c>
      <c r="R144" s="113"/>
      <c r="S144" s="132">
        <v>25000</v>
      </c>
      <c r="T144" s="132">
        <v>0</v>
      </c>
      <c r="U144" s="132">
        <v>0</v>
      </c>
      <c r="V144" s="132"/>
      <c r="W144" s="132">
        <v>0</v>
      </c>
      <c r="X144" s="132">
        <v>0</v>
      </c>
      <c r="Y144" s="111">
        <v>25000</v>
      </c>
      <c r="Z144" s="133">
        <f t="shared" si="23"/>
        <v>25000</v>
      </c>
      <c r="AA144" s="133">
        <f t="shared" si="24"/>
        <v>0</v>
      </c>
      <c r="AB144" s="141"/>
      <c r="AC144" s="132">
        <v>25000</v>
      </c>
      <c r="AD144" s="132">
        <v>0</v>
      </c>
      <c r="AE144" s="132">
        <v>0</v>
      </c>
      <c r="AF144" s="132">
        <v>0</v>
      </c>
      <c r="AG144" s="132">
        <v>0</v>
      </c>
      <c r="AH144" s="132"/>
      <c r="AI144" s="111">
        <v>25000</v>
      </c>
      <c r="AJ144" s="134">
        <f t="shared" si="19"/>
        <v>25000</v>
      </c>
      <c r="AK144" s="134">
        <f t="shared" si="25"/>
        <v>0</v>
      </c>
      <c r="AL144" s="142"/>
      <c r="AM144" s="132">
        <v>25000</v>
      </c>
      <c r="AN144" s="132">
        <v>0</v>
      </c>
      <c r="AO144" s="132">
        <v>0</v>
      </c>
      <c r="AP144" s="132">
        <v>0</v>
      </c>
      <c r="AQ144" s="132">
        <v>0</v>
      </c>
      <c r="AR144" s="135">
        <v>0</v>
      </c>
      <c r="AS144" s="116">
        <v>25000</v>
      </c>
      <c r="AT144" s="134">
        <f t="shared" si="29"/>
        <v>25000</v>
      </c>
      <c r="AU144" s="134">
        <f t="shared" si="26"/>
        <v>0</v>
      </c>
      <c r="AV144" s="142"/>
      <c r="AW144" s="135" t="s">
        <v>602</v>
      </c>
      <c r="AX144" s="135" t="s">
        <v>602</v>
      </c>
      <c r="AY144" s="135" t="s">
        <v>602</v>
      </c>
      <c r="AZ144" s="135" t="s">
        <v>602</v>
      </c>
      <c r="BA144" s="135" t="s">
        <v>602</v>
      </c>
      <c r="BB144" s="116"/>
      <c r="BC144" s="113"/>
      <c r="BD144" s="116"/>
      <c r="BE144" s="113"/>
      <c r="BF144" s="116"/>
      <c r="BG144" s="116"/>
      <c r="BH144" s="137">
        <f t="shared" si="27"/>
        <v>75000</v>
      </c>
      <c r="BI144" s="138">
        <f t="shared" si="28"/>
        <v>0</v>
      </c>
      <c r="BJ144" s="147" t="s">
        <v>1035</v>
      </c>
      <c r="BK144" s="91"/>
    </row>
    <row r="145" spans="1:63" ht="15.75">
      <c r="A145" s="123">
        <v>501341</v>
      </c>
      <c r="B145" s="126">
        <v>208609</v>
      </c>
      <c r="C145" s="124" t="s">
        <v>1031</v>
      </c>
      <c r="D145" s="124" t="s">
        <v>1032</v>
      </c>
      <c r="E145" s="125" t="s">
        <v>1030</v>
      </c>
      <c r="F145" s="124" t="s">
        <v>332</v>
      </c>
      <c r="G145" s="127" t="s">
        <v>82</v>
      </c>
      <c r="H145" s="126" t="s">
        <v>628</v>
      </c>
      <c r="I145" s="126" t="s">
        <v>598</v>
      </c>
      <c r="J145" s="126" t="s">
        <v>1033</v>
      </c>
      <c r="K145" s="128" t="s">
        <v>754</v>
      </c>
      <c r="L145" s="121" t="s">
        <v>515</v>
      </c>
      <c r="M145" s="123" t="s">
        <v>713</v>
      </c>
      <c r="N145" s="129">
        <v>42614</v>
      </c>
      <c r="O145" s="129">
        <v>43708</v>
      </c>
      <c r="P145" s="129">
        <v>44145</v>
      </c>
      <c r="Q145" s="130">
        <v>54000</v>
      </c>
      <c r="R145" s="113"/>
      <c r="S145" s="132">
        <v>0</v>
      </c>
      <c r="T145" s="132">
        <v>0</v>
      </c>
      <c r="U145" s="132">
        <v>18000</v>
      </c>
      <c r="V145" s="132"/>
      <c r="W145" s="132">
        <v>0</v>
      </c>
      <c r="X145" s="132">
        <v>0</v>
      </c>
      <c r="Y145" s="111">
        <v>18000</v>
      </c>
      <c r="Z145" s="133">
        <f t="shared" si="23"/>
        <v>18000</v>
      </c>
      <c r="AA145" s="133">
        <f t="shared" si="24"/>
        <v>0</v>
      </c>
      <c r="AB145" s="141"/>
      <c r="AC145" s="132">
        <v>0</v>
      </c>
      <c r="AD145" s="132">
        <v>0</v>
      </c>
      <c r="AE145" s="132">
        <v>18000</v>
      </c>
      <c r="AF145" s="132">
        <v>0</v>
      </c>
      <c r="AG145" s="132">
        <v>0</v>
      </c>
      <c r="AH145" s="132"/>
      <c r="AI145" s="111">
        <v>18000</v>
      </c>
      <c r="AJ145" s="134">
        <f t="shared" ref="AJ145:AJ208" si="30">SUM(AB145:AH145)</f>
        <v>18000</v>
      </c>
      <c r="AK145" s="134">
        <f t="shared" si="25"/>
        <v>0</v>
      </c>
      <c r="AL145" s="142"/>
      <c r="AM145" s="135">
        <v>0</v>
      </c>
      <c r="AN145" s="135">
        <v>0</v>
      </c>
      <c r="AO145" s="135">
        <v>18000</v>
      </c>
      <c r="AP145" s="135"/>
      <c r="AQ145" s="135">
        <v>0</v>
      </c>
      <c r="AR145" s="135">
        <v>0</v>
      </c>
      <c r="AS145" s="116">
        <v>18000</v>
      </c>
      <c r="AT145" s="134">
        <f t="shared" si="29"/>
        <v>18000</v>
      </c>
      <c r="AU145" s="134">
        <f t="shared" si="26"/>
        <v>0</v>
      </c>
      <c r="AV145" s="142"/>
      <c r="AW145" s="135"/>
      <c r="AX145" s="135"/>
      <c r="AY145" s="135"/>
      <c r="AZ145" s="135"/>
      <c r="BA145" s="135"/>
      <c r="BB145" s="116"/>
      <c r="BC145" s="113"/>
      <c r="BD145" s="116"/>
      <c r="BE145" s="113"/>
      <c r="BF145" s="116"/>
      <c r="BG145" s="116"/>
      <c r="BH145" s="137">
        <f t="shared" si="27"/>
        <v>54000</v>
      </c>
      <c r="BI145" s="138">
        <f t="shared" si="28"/>
        <v>0</v>
      </c>
      <c r="BJ145" s="126"/>
      <c r="BK145" s="91"/>
    </row>
    <row r="146" spans="1:63" ht="15.75">
      <c r="A146" s="123">
        <v>501342</v>
      </c>
      <c r="B146" s="126">
        <v>208609</v>
      </c>
      <c r="C146" s="124" t="s">
        <v>1031</v>
      </c>
      <c r="D146" s="124" t="s">
        <v>1032</v>
      </c>
      <c r="E146" s="125" t="s">
        <v>1030</v>
      </c>
      <c r="F146" s="124" t="s">
        <v>332</v>
      </c>
      <c r="G146" s="127" t="s">
        <v>82</v>
      </c>
      <c r="H146" s="126" t="s">
        <v>597</v>
      </c>
      <c r="I146" s="126" t="s">
        <v>598</v>
      </c>
      <c r="J146" s="126" t="s">
        <v>1033</v>
      </c>
      <c r="K146" s="128" t="s">
        <v>754</v>
      </c>
      <c r="L146" s="121" t="s">
        <v>515</v>
      </c>
      <c r="M146" s="123" t="s">
        <v>2070</v>
      </c>
      <c r="N146" s="129">
        <v>42614</v>
      </c>
      <c r="O146" s="129">
        <v>44286</v>
      </c>
      <c r="P146" s="129">
        <v>44286</v>
      </c>
      <c r="Q146" s="130">
        <v>554475</v>
      </c>
      <c r="R146" s="113"/>
      <c r="S146" s="132">
        <v>104000</v>
      </c>
      <c r="T146" s="132">
        <v>0</v>
      </c>
      <c r="U146" s="132">
        <v>56000</v>
      </c>
      <c r="V146" s="132"/>
      <c r="W146" s="132">
        <v>19475</v>
      </c>
      <c r="X146" s="132">
        <v>5000</v>
      </c>
      <c r="Y146" s="111">
        <v>184475</v>
      </c>
      <c r="Z146" s="133">
        <f t="shared" si="23"/>
        <v>184475</v>
      </c>
      <c r="AA146" s="133">
        <f t="shared" si="24"/>
        <v>0</v>
      </c>
      <c r="AB146" s="141"/>
      <c r="AC146" s="132">
        <v>109000</v>
      </c>
      <c r="AD146" s="132">
        <v>0</v>
      </c>
      <c r="AE146" s="132">
        <v>56000</v>
      </c>
      <c r="AF146" s="132">
        <v>20000</v>
      </c>
      <c r="AG146" s="132">
        <v>0</v>
      </c>
      <c r="AH146" s="132"/>
      <c r="AI146" s="111">
        <v>185000</v>
      </c>
      <c r="AJ146" s="134">
        <f t="shared" si="30"/>
        <v>185000</v>
      </c>
      <c r="AK146" s="134">
        <f t="shared" si="25"/>
        <v>0</v>
      </c>
      <c r="AL146" s="142"/>
      <c r="AM146" s="135">
        <v>104000</v>
      </c>
      <c r="AN146" s="135">
        <v>0</v>
      </c>
      <c r="AO146" s="135">
        <v>56000</v>
      </c>
      <c r="AP146" s="135"/>
      <c r="AQ146" s="135">
        <v>20000</v>
      </c>
      <c r="AR146" s="135">
        <v>5000</v>
      </c>
      <c r="AS146" s="116">
        <v>185000</v>
      </c>
      <c r="AT146" s="134">
        <f t="shared" si="29"/>
        <v>185000</v>
      </c>
      <c r="AU146" s="134">
        <f t="shared" si="26"/>
        <v>0</v>
      </c>
      <c r="AV146" s="142"/>
      <c r="AW146" s="135"/>
      <c r="AX146" s="135"/>
      <c r="AY146" s="135"/>
      <c r="AZ146" s="135"/>
      <c r="BA146" s="135"/>
      <c r="BB146" s="116"/>
      <c r="BC146" s="113"/>
      <c r="BD146" s="116"/>
      <c r="BE146" s="113"/>
      <c r="BF146" s="116"/>
      <c r="BG146" s="116"/>
      <c r="BH146" s="137">
        <f t="shared" si="27"/>
        <v>554475</v>
      </c>
      <c r="BI146" s="138">
        <f t="shared" si="28"/>
        <v>0</v>
      </c>
      <c r="BJ146" s="126" t="s">
        <v>1036</v>
      </c>
      <c r="BK146" s="91"/>
    </row>
    <row r="147" spans="1:63" ht="15.75">
      <c r="A147" s="123">
        <v>501349</v>
      </c>
      <c r="B147" s="126">
        <v>208609</v>
      </c>
      <c r="C147" s="148" t="s">
        <v>1031</v>
      </c>
      <c r="D147" s="148" t="s">
        <v>1032</v>
      </c>
      <c r="E147" s="125" t="s">
        <v>1030</v>
      </c>
      <c r="F147" s="124" t="s">
        <v>332</v>
      </c>
      <c r="G147" s="127" t="s">
        <v>82</v>
      </c>
      <c r="H147" s="149" t="s">
        <v>628</v>
      </c>
      <c r="I147" s="126" t="s">
        <v>598</v>
      </c>
      <c r="J147" s="126" t="s">
        <v>1033</v>
      </c>
      <c r="K147" s="128" t="s">
        <v>754</v>
      </c>
      <c r="L147" s="121" t="s">
        <v>515</v>
      </c>
      <c r="M147" s="143" t="s">
        <v>640</v>
      </c>
      <c r="N147" s="129">
        <v>42614</v>
      </c>
      <c r="O147" s="129">
        <v>43708</v>
      </c>
      <c r="P147" s="129">
        <v>43708</v>
      </c>
      <c r="Q147" s="144">
        <v>270000</v>
      </c>
      <c r="R147" s="150"/>
      <c r="S147" s="132">
        <v>57000</v>
      </c>
      <c r="T147" s="132">
        <v>0</v>
      </c>
      <c r="U147" s="132">
        <v>23000</v>
      </c>
      <c r="V147" s="132"/>
      <c r="W147" s="132">
        <v>10000</v>
      </c>
      <c r="X147" s="132">
        <v>0</v>
      </c>
      <c r="Y147" s="111">
        <v>90000</v>
      </c>
      <c r="Z147" s="133">
        <f t="shared" si="23"/>
        <v>90000</v>
      </c>
      <c r="AA147" s="133">
        <f t="shared" si="24"/>
        <v>0</v>
      </c>
      <c r="AB147" s="141"/>
      <c r="AC147" s="132">
        <v>57000</v>
      </c>
      <c r="AD147" s="132">
        <v>0</v>
      </c>
      <c r="AE147" s="132">
        <v>23000</v>
      </c>
      <c r="AF147" s="132">
        <v>10000</v>
      </c>
      <c r="AG147" s="132">
        <v>0</v>
      </c>
      <c r="AH147" s="132"/>
      <c r="AI147" s="111">
        <v>90000</v>
      </c>
      <c r="AJ147" s="134">
        <f t="shared" si="30"/>
        <v>90000</v>
      </c>
      <c r="AK147" s="134">
        <f t="shared" si="25"/>
        <v>0</v>
      </c>
      <c r="AL147" s="142"/>
      <c r="AM147" s="135">
        <v>57000</v>
      </c>
      <c r="AN147" s="135">
        <v>0</v>
      </c>
      <c r="AO147" s="135">
        <v>23000</v>
      </c>
      <c r="AP147" s="135"/>
      <c r="AQ147" s="135">
        <v>10000</v>
      </c>
      <c r="AR147" s="135">
        <v>0</v>
      </c>
      <c r="AS147" s="116">
        <v>90000</v>
      </c>
      <c r="AT147" s="134">
        <f t="shared" si="29"/>
        <v>90000</v>
      </c>
      <c r="AU147" s="134">
        <f t="shared" si="26"/>
        <v>0</v>
      </c>
      <c r="AV147" s="142"/>
      <c r="AW147" s="135"/>
      <c r="AX147" s="135"/>
      <c r="AY147" s="135"/>
      <c r="AZ147" s="135"/>
      <c r="BA147" s="135"/>
      <c r="BB147" s="116"/>
      <c r="BC147" s="113"/>
      <c r="BD147" s="116"/>
      <c r="BE147" s="113"/>
      <c r="BF147" s="116"/>
      <c r="BG147" s="116"/>
      <c r="BH147" s="137">
        <f t="shared" si="27"/>
        <v>270000</v>
      </c>
      <c r="BI147" s="138">
        <f t="shared" si="28"/>
        <v>0</v>
      </c>
      <c r="BJ147" s="147"/>
      <c r="BK147" s="91"/>
    </row>
    <row r="148" spans="1:63" ht="15.75">
      <c r="A148" s="123">
        <v>501380</v>
      </c>
      <c r="B148" s="126">
        <v>208609</v>
      </c>
      <c r="C148" s="148" t="s">
        <v>1031</v>
      </c>
      <c r="D148" s="148" t="s">
        <v>1032</v>
      </c>
      <c r="E148" s="125" t="s">
        <v>1030</v>
      </c>
      <c r="F148" s="124" t="s">
        <v>332</v>
      </c>
      <c r="G148" s="127" t="s">
        <v>82</v>
      </c>
      <c r="H148" s="149" t="s">
        <v>628</v>
      </c>
      <c r="I148" s="126" t="s">
        <v>598</v>
      </c>
      <c r="J148" s="126" t="s">
        <v>1033</v>
      </c>
      <c r="K148" s="128" t="s">
        <v>754</v>
      </c>
      <c r="L148" s="121" t="s">
        <v>515</v>
      </c>
      <c r="M148" s="143" t="s">
        <v>982</v>
      </c>
      <c r="N148" s="129">
        <v>42614</v>
      </c>
      <c r="O148" s="129">
        <v>44104</v>
      </c>
      <c r="P148" s="129">
        <v>44149</v>
      </c>
      <c r="Q148" s="144">
        <v>25000</v>
      </c>
      <c r="R148" s="150"/>
      <c r="S148" s="132">
        <v>18275</v>
      </c>
      <c r="T148" s="132">
        <v>0</v>
      </c>
      <c r="U148" s="132">
        <v>6725</v>
      </c>
      <c r="V148" s="132"/>
      <c r="W148" s="132">
        <v>0</v>
      </c>
      <c r="X148" s="132">
        <v>0</v>
      </c>
      <c r="Y148" s="111">
        <v>25000</v>
      </c>
      <c r="Z148" s="133">
        <f t="shared" si="23"/>
        <v>25000</v>
      </c>
      <c r="AA148" s="133">
        <f t="shared" si="24"/>
        <v>0</v>
      </c>
      <c r="AB148" s="141"/>
      <c r="AC148" s="132">
        <v>0</v>
      </c>
      <c r="AD148" s="132">
        <v>0</v>
      </c>
      <c r="AE148" s="132">
        <v>0</v>
      </c>
      <c r="AF148" s="132">
        <v>0</v>
      </c>
      <c r="AG148" s="132">
        <v>0</v>
      </c>
      <c r="AH148" s="132"/>
      <c r="AI148" s="111">
        <v>0</v>
      </c>
      <c r="AJ148" s="134">
        <f t="shared" si="30"/>
        <v>0</v>
      </c>
      <c r="AK148" s="134">
        <f t="shared" si="25"/>
        <v>0</v>
      </c>
      <c r="AL148" s="142"/>
      <c r="AM148" s="135">
        <v>0</v>
      </c>
      <c r="AN148" s="135">
        <v>0</v>
      </c>
      <c r="AO148" s="135">
        <v>0</v>
      </c>
      <c r="AP148" s="135"/>
      <c r="AQ148" s="135">
        <v>0</v>
      </c>
      <c r="AR148" s="135">
        <v>0</v>
      </c>
      <c r="AS148" s="116">
        <v>0</v>
      </c>
      <c r="AT148" s="134">
        <f t="shared" si="29"/>
        <v>0</v>
      </c>
      <c r="AU148" s="134">
        <f t="shared" si="26"/>
        <v>0</v>
      </c>
      <c r="AV148" s="142"/>
      <c r="AW148" s="135"/>
      <c r="AX148" s="135"/>
      <c r="AY148" s="135"/>
      <c r="AZ148" s="135"/>
      <c r="BA148" s="135"/>
      <c r="BB148" s="116"/>
      <c r="BC148" s="113"/>
      <c r="BD148" s="116"/>
      <c r="BE148" s="113"/>
      <c r="BF148" s="116"/>
      <c r="BG148" s="116"/>
      <c r="BH148" s="137">
        <f t="shared" si="27"/>
        <v>25000</v>
      </c>
      <c r="BI148" s="138">
        <f t="shared" si="28"/>
        <v>0</v>
      </c>
      <c r="BJ148" s="147"/>
      <c r="BK148" s="91"/>
    </row>
    <row r="149" spans="1:63" ht="15.75">
      <c r="A149" s="123">
        <v>507779</v>
      </c>
      <c r="B149" s="126">
        <v>208609</v>
      </c>
      <c r="C149" s="148" t="s">
        <v>1031</v>
      </c>
      <c r="D149" s="148" t="s">
        <v>1032</v>
      </c>
      <c r="E149" s="125" t="s">
        <v>1030</v>
      </c>
      <c r="F149" s="124" t="s">
        <v>332</v>
      </c>
      <c r="G149" s="127" t="s">
        <v>82</v>
      </c>
      <c r="H149" s="149" t="s">
        <v>628</v>
      </c>
      <c r="I149" s="126" t="s">
        <v>598</v>
      </c>
      <c r="J149" s="126" t="s">
        <v>1033</v>
      </c>
      <c r="K149" s="128" t="s">
        <v>754</v>
      </c>
      <c r="L149" s="121" t="s">
        <v>519</v>
      </c>
      <c r="M149" s="123" t="s">
        <v>641</v>
      </c>
      <c r="N149" s="129">
        <v>43709</v>
      </c>
      <c r="O149" s="129">
        <v>44530</v>
      </c>
      <c r="P149" s="129">
        <v>44530</v>
      </c>
      <c r="Q149" s="130">
        <f>200000+200000</f>
        <v>400000</v>
      </c>
      <c r="R149" s="113"/>
      <c r="S149" s="132">
        <v>126500</v>
      </c>
      <c r="T149" s="132"/>
      <c r="U149" s="132">
        <v>35000</v>
      </c>
      <c r="V149" s="132"/>
      <c r="W149" s="132">
        <v>8000</v>
      </c>
      <c r="X149" s="132">
        <v>30500</v>
      </c>
      <c r="Y149" s="111">
        <v>200000</v>
      </c>
      <c r="Z149" s="133">
        <f t="shared" si="23"/>
        <v>200000</v>
      </c>
      <c r="AA149" s="133">
        <f t="shared" si="24"/>
        <v>0</v>
      </c>
      <c r="AB149" s="141"/>
      <c r="AC149" s="132">
        <v>126500</v>
      </c>
      <c r="AD149" s="132"/>
      <c r="AE149" s="132">
        <v>35000</v>
      </c>
      <c r="AF149" s="132"/>
      <c r="AG149" s="132">
        <v>8000</v>
      </c>
      <c r="AH149" s="132">
        <v>30500</v>
      </c>
      <c r="AI149" s="111">
        <v>200000</v>
      </c>
      <c r="AJ149" s="134">
        <f t="shared" si="30"/>
        <v>200000</v>
      </c>
      <c r="AK149" s="134">
        <f t="shared" si="25"/>
        <v>0</v>
      </c>
      <c r="AL149" s="142"/>
      <c r="AM149" s="132">
        <v>126500</v>
      </c>
      <c r="AN149" s="132">
        <v>0</v>
      </c>
      <c r="AO149" s="132">
        <v>35000</v>
      </c>
      <c r="AP149" s="132">
        <v>0</v>
      </c>
      <c r="AQ149" s="132">
        <v>8000</v>
      </c>
      <c r="AR149" s="132">
        <v>30500</v>
      </c>
      <c r="AS149" s="116">
        <f>SUM(AM149:AR149)</f>
        <v>200000</v>
      </c>
      <c r="AT149" s="134">
        <f t="shared" si="29"/>
        <v>200000</v>
      </c>
      <c r="AU149" s="134">
        <f t="shared" si="26"/>
        <v>0</v>
      </c>
      <c r="AV149" s="142"/>
      <c r="AW149" s="135"/>
      <c r="AX149" s="135"/>
      <c r="AY149" s="135"/>
      <c r="AZ149" s="135"/>
      <c r="BA149" s="135"/>
      <c r="BB149" s="116"/>
      <c r="BC149" s="113"/>
      <c r="BD149" s="116"/>
      <c r="BE149" s="113"/>
      <c r="BF149" s="116"/>
      <c r="BG149" s="116"/>
      <c r="BH149" s="137">
        <f t="shared" si="27"/>
        <v>600000</v>
      </c>
      <c r="BI149" s="138">
        <f t="shared" si="28"/>
        <v>200000</v>
      </c>
      <c r="BJ149" s="147"/>
      <c r="BK149" s="91"/>
    </row>
    <row r="150" spans="1:63" ht="15.75">
      <c r="A150" s="123">
        <v>500687</v>
      </c>
      <c r="B150" s="126">
        <v>208610</v>
      </c>
      <c r="C150" s="124" t="s">
        <v>1039</v>
      </c>
      <c r="D150" s="124" t="s">
        <v>1040</v>
      </c>
      <c r="E150" s="125" t="s">
        <v>1037</v>
      </c>
      <c r="F150" s="124" t="s">
        <v>1038</v>
      </c>
      <c r="G150" s="127" t="s">
        <v>53</v>
      </c>
      <c r="H150" s="126" t="s">
        <v>597</v>
      </c>
      <c r="I150" s="126" t="s">
        <v>598</v>
      </c>
      <c r="J150" s="126" t="s">
        <v>683</v>
      </c>
      <c r="K150" s="128" t="s">
        <v>684</v>
      </c>
      <c r="L150" s="121" t="s">
        <v>637</v>
      </c>
      <c r="M150" s="123" t="s">
        <v>638</v>
      </c>
      <c r="N150" s="129">
        <v>42248</v>
      </c>
      <c r="O150" s="129">
        <v>42643</v>
      </c>
      <c r="P150" s="129">
        <v>42643</v>
      </c>
      <c r="Q150" s="130">
        <v>50000</v>
      </c>
      <c r="R150" s="132">
        <v>50000</v>
      </c>
      <c r="S150" s="132"/>
      <c r="T150" s="132">
        <v>0</v>
      </c>
      <c r="U150" s="132">
        <v>0</v>
      </c>
      <c r="V150" s="132"/>
      <c r="W150" s="132">
        <v>0</v>
      </c>
      <c r="X150" s="132">
        <v>0</v>
      </c>
      <c r="Y150" s="111">
        <v>50000</v>
      </c>
      <c r="Z150" s="133">
        <f t="shared" si="23"/>
        <v>50000</v>
      </c>
      <c r="AA150" s="133">
        <f t="shared" si="24"/>
        <v>0</v>
      </c>
      <c r="AB150" s="141"/>
      <c r="AC150" s="132" t="s">
        <v>602</v>
      </c>
      <c r="AD150" s="132" t="s">
        <v>602</v>
      </c>
      <c r="AE150" s="132" t="s">
        <v>602</v>
      </c>
      <c r="AF150" s="132" t="s">
        <v>602</v>
      </c>
      <c r="AG150" s="132" t="s">
        <v>602</v>
      </c>
      <c r="AH150" s="132"/>
      <c r="AI150" s="111">
        <v>0</v>
      </c>
      <c r="AJ150" s="134">
        <f t="shared" si="30"/>
        <v>0</v>
      </c>
      <c r="AK150" s="134">
        <f t="shared" si="25"/>
        <v>0</v>
      </c>
      <c r="AL150" s="142"/>
      <c r="AM150" s="132" t="s">
        <v>602</v>
      </c>
      <c r="AN150" s="132" t="s">
        <v>602</v>
      </c>
      <c r="AO150" s="132" t="s">
        <v>602</v>
      </c>
      <c r="AP150" s="132" t="s">
        <v>602</v>
      </c>
      <c r="AQ150" s="132" t="s">
        <v>602</v>
      </c>
      <c r="AR150" s="135" t="s">
        <v>602</v>
      </c>
      <c r="AS150" s="116">
        <v>0</v>
      </c>
      <c r="AT150" s="134">
        <f t="shared" si="29"/>
        <v>0</v>
      </c>
      <c r="AU150" s="134">
        <f t="shared" si="26"/>
        <v>0</v>
      </c>
      <c r="AV150" s="142"/>
      <c r="AW150" s="132" t="s">
        <v>602</v>
      </c>
      <c r="AX150" s="132" t="s">
        <v>602</v>
      </c>
      <c r="AY150" s="132" t="s">
        <v>602</v>
      </c>
      <c r="AZ150" s="132" t="s">
        <v>602</v>
      </c>
      <c r="BA150" s="132" t="s">
        <v>602</v>
      </c>
      <c r="BB150" s="116"/>
      <c r="BC150" s="113"/>
      <c r="BD150" s="116"/>
      <c r="BE150" s="113"/>
      <c r="BF150" s="116"/>
      <c r="BG150" s="116"/>
      <c r="BH150" s="137">
        <f t="shared" si="27"/>
        <v>50000</v>
      </c>
      <c r="BI150" s="138">
        <f t="shared" si="28"/>
        <v>0</v>
      </c>
      <c r="BJ150" s="126"/>
      <c r="BK150" s="91"/>
    </row>
    <row r="151" spans="1:63" ht="15.75">
      <c r="A151" s="123">
        <v>501335</v>
      </c>
      <c r="B151" s="126">
        <v>208610</v>
      </c>
      <c r="C151" s="124" t="s">
        <v>1039</v>
      </c>
      <c r="D151" s="124" t="s">
        <v>1040</v>
      </c>
      <c r="E151" s="125" t="s">
        <v>1037</v>
      </c>
      <c r="F151" s="124" t="s">
        <v>1038</v>
      </c>
      <c r="G151" s="127" t="s">
        <v>53</v>
      </c>
      <c r="H151" s="126" t="s">
        <v>628</v>
      </c>
      <c r="I151" s="126" t="s">
        <v>598</v>
      </c>
      <c r="J151" s="126" t="s">
        <v>683</v>
      </c>
      <c r="K151" s="128" t="s">
        <v>684</v>
      </c>
      <c r="L151" s="121" t="s">
        <v>515</v>
      </c>
      <c r="M151" s="123" t="s">
        <v>994</v>
      </c>
      <c r="N151" s="129">
        <v>42614</v>
      </c>
      <c r="O151" s="129">
        <v>43708</v>
      </c>
      <c r="P151" s="129">
        <v>43798</v>
      </c>
      <c r="Q151" s="130">
        <v>45000</v>
      </c>
      <c r="R151" s="113"/>
      <c r="S151" s="132">
        <v>5000</v>
      </c>
      <c r="T151" s="132">
        <v>0</v>
      </c>
      <c r="U151" s="132">
        <v>10000</v>
      </c>
      <c r="V151" s="132"/>
      <c r="W151" s="132">
        <v>0</v>
      </c>
      <c r="X151" s="132">
        <v>0</v>
      </c>
      <c r="Y151" s="111">
        <v>15000</v>
      </c>
      <c r="Z151" s="133">
        <f t="shared" si="23"/>
        <v>15000</v>
      </c>
      <c r="AA151" s="133">
        <f t="shared" si="24"/>
        <v>0</v>
      </c>
      <c r="AB151" s="141"/>
      <c r="AC151" s="132">
        <v>5000</v>
      </c>
      <c r="AD151" s="132">
        <v>0</v>
      </c>
      <c r="AE151" s="132">
        <v>10000</v>
      </c>
      <c r="AF151" s="132">
        <v>0</v>
      </c>
      <c r="AG151" s="132">
        <v>0</v>
      </c>
      <c r="AH151" s="132"/>
      <c r="AI151" s="111">
        <v>15000</v>
      </c>
      <c r="AJ151" s="134">
        <f t="shared" si="30"/>
        <v>15000</v>
      </c>
      <c r="AK151" s="134">
        <f t="shared" si="25"/>
        <v>0</v>
      </c>
      <c r="AL151" s="142"/>
      <c r="AM151" s="135">
        <v>5000</v>
      </c>
      <c r="AN151" s="135">
        <v>0</v>
      </c>
      <c r="AO151" s="135">
        <v>10000</v>
      </c>
      <c r="AP151" s="135"/>
      <c r="AQ151" s="135">
        <v>0</v>
      </c>
      <c r="AR151" s="135">
        <v>0</v>
      </c>
      <c r="AS151" s="116">
        <v>15000</v>
      </c>
      <c r="AT151" s="134">
        <f t="shared" si="29"/>
        <v>15000</v>
      </c>
      <c r="AU151" s="134">
        <f t="shared" si="26"/>
        <v>0</v>
      </c>
      <c r="AV151" s="142"/>
      <c r="AW151" s="135"/>
      <c r="AX151" s="135"/>
      <c r="AY151" s="135"/>
      <c r="AZ151" s="135"/>
      <c r="BA151" s="135"/>
      <c r="BB151" s="116"/>
      <c r="BC151" s="113"/>
      <c r="BD151" s="116"/>
      <c r="BE151" s="113"/>
      <c r="BF151" s="116"/>
      <c r="BG151" s="116"/>
      <c r="BH151" s="137">
        <f t="shared" si="27"/>
        <v>45000</v>
      </c>
      <c r="BI151" s="138">
        <f t="shared" si="28"/>
        <v>0</v>
      </c>
      <c r="BJ151" s="126"/>
      <c r="BK151" s="91"/>
    </row>
    <row r="152" spans="1:63" ht="15.75">
      <c r="A152" s="123">
        <v>501346</v>
      </c>
      <c r="B152" s="126">
        <v>208612</v>
      </c>
      <c r="C152" s="121" t="s">
        <v>1043</v>
      </c>
      <c r="D152" s="121" t="s">
        <v>1044</v>
      </c>
      <c r="E152" s="125" t="s">
        <v>1041</v>
      </c>
      <c r="F152" s="124" t="s">
        <v>1042</v>
      </c>
      <c r="G152" s="127" t="s">
        <v>46</v>
      </c>
      <c r="H152" s="123" t="s">
        <v>628</v>
      </c>
      <c r="I152" s="126" t="s">
        <v>598</v>
      </c>
      <c r="J152" s="126" t="s">
        <v>730</v>
      </c>
      <c r="K152" s="128" t="s">
        <v>1045</v>
      </c>
      <c r="L152" s="121" t="s">
        <v>515</v>
      </c>
      <c r="M152" s="143" t="s">
        <v>744</v>
      </c>
      <c r="N152" s="129">
        <v>42614</v>
      </c>
      <c r="O152" s="129">
        <v>43830</v>
      </c>
      <c r="P152" s="129">
        <v>43830</v>
      </c>
      <c r="Q152" s="144">
        <v>132000</v>
      </c>
      <c r="R152" s="150"/>
      <c r="S152" s="132">
        <v>44000</v>
      </c>
      <c r="T152" s="132">
        <v>0</v>
      </c>
      <c r="U152" s="132">
        <v>0</v>
      </c>
      <c r="V152" s="132"/>
      <c r="W152" s="132">
        <v>0</v>
      </c>
      <c r="X152" s="132">
        <v>0</v>
      </c>
      <c r="Y152" s="111">
        <v>44000</v>
      </c>
      <c r="Z152" s="133">
        <f t="shared" si="23"/>
        <v>44000</v>
      </c>
      <c r="AA152" s="133">
        <f t="shared" si="24"/>
        <v>0</v>
      </c>
      <c r="AB152" s="141"/>
      <c r="AC152" s="132">
        <v>44000</v>
      </c>
      <c r="AD152" s="132">
        <v>0</v>
      </c>
      <c r="AE152" s="132">
        <v>0</v>
      </c>
      <c r="AF152" s="132">
        <v>0</v>
      </c>
      <c r="AG152" s="132">
        <v>0</v>
      </c>
      <c r="AH152" s="132"/>
      <c r="AI152" s="111">
        <v>44000</v>
      </c>
      <c r="AJ152" s="134">
        <f t="shared" si="30"/>
        <v>44000</v>
      </c>
      <c r="AK152" s="134">
        <f t="shared" si="25"/>
        <v>0</v>
      </c>
      <c r="AL152" s="142"/>
      <c r="AM152" s="135">
        <v>44000</v>
      </c>
      <c r="AN152" s="135">
        <v>0</v>
      </c>
      <c r="AO152" s="135">
        <v>0</v>
      </c>
      <c r="AP152" s="135"/>
      <c r="AQ152" s="135">
        <v>0</v>
      </c>
      <c r="AR152" s="135">
        <v>0</v>
      </c>
      <c r="AS152" s="116">
        <v>44000</v>
      </c>
      <c r="AT152" s="134">
        <f t="shared" si="29"/>
        <v>44000</v>
      </c>
      <c r="AU152" s="134">
        <f t="shared" si="26"/>
        <v>0</v>
      </c>
      <c r="AV152" s="142"/>
      <c r="AW152" s="135"/>
      <c r="AX152" s="135"/>
      <c r="AY152" s="135"/>
      <c r="AZ152" s="135"/>
      <c r="BA152" s="135"/>
      <c r="BB152" s="116"/>
      <c r="BC152" s="113"/>
      <c r="BD152" s="116"/>
      <c r="BE152" s="113"/>
      <c r="BF152" s="116"/>
      <c r="BG152" s="116"/>
      <c r="BH152" s="137">
        <f t="shared" si="27"/>
        <v>132000</v>
      </c>
      <c r="BI152" s="138">
        <f t="shared" si="28"/>
        <v>0</v>
      </c>
      <c r="BJ152" s="147" t="s">
        <v>1046</v>
      </c>
      <c r="BK152" s="91"/>
    </row>
    <row r="153" spans="1:63" ht="15.75">
      <c r="A153" s="123">
        <v>500742</v>
      </c>
      <c r="B153" s="126">
        <v>208615</v>
      </c>
      <c r="C153" s="148" t="s">
        <v>1049</v>
      </c>
      <c r="D153" s="148" t="s">
        <v>1008</v>
      </c>
      <c r="E153" s="125" t="s">
        <v>1047</v>
      </c>
      <c r="F153" s="124" t="s">
        <v>1048</v>
      </c>
      <c r="G153" s="127" t="s">
        <v>53</v>
      </c>
      <c r="H153" s="149" t="s">
        <v>597</v>
      </c>
      <c r="I153" s="126" t="s">
        <v>598</v>
      </c>
      <c r="J153" s="126" t="s">
        <v>1050</v>
      </c>
      <c r="K153" s="128" t="s">
        <v>1051</v>
      </c>
      <c r="L153" s="121" t="s">
        <v>637</v>
      </c>
      <c r="M153" s="123" t="s">
        <v>638</v>
      </c>
      <c r="N153" s="129">
        <v>42248</v>
      </c>
      <c r="O153" s="129">
        <v>42643</v>
      </c>
      <c r="P153" s="129">
        <v>43921</v>
      </c>
      <c r="Q153" s="144">
        <v>25000</v>
      </c>
      <c r="R153" s="132">
        <v>25000</v>
      </c>
      <c r="S153" s="132"/>
      <c r="T153" s="132">
        <v>0</v>
      </c>
      <c r="U153" s="132">
        <v>0</v>
      </c>
      <c r="V153" s="132"/>
      <c r="W153" s="132">
        <v>0</v>
      </c>
      <c r="X153" s="132">
        <v>0</v>
      </c>
      <c r="Y153" s="111">
        <v>25000</v>
      </c>
      <c r="Z153" s="133">
        <f t="shared" si="23"/>
        <v>25000</v>
      </c>
      <c r="AA153" s="133">
        <f t="shared" si="24"/>
        <v>0</v>
      </c>
      <c r="AB153" s="141"/>
      <c r="AC153" s="132" t="s">
        <v>602</v>
      </c>
      <c r="AD153" s="132" t="s">
        <v>602</v>
      </c>
      <c r="AE153" s="132" t="s">
        <v>602</v>
      </c>
      <c r="AF153" s="132" t="s">
        <v>602</v>
      </c>
      <c r="AG153" s="132" t="s">
        <v>602</v>
      </c>
      <c r="AH153" s="132"/>
      <c r="AI153" s="111">
        <v>0</v>
      </c>
      <c r="AJ153" s="134">
        <f t="shared" si="30"/>
        <v>0</v>
      </c>
      <c r="AK153" s="134">
        <f t="shared" si="25"/>
        <v>0</v>
      </c>
      <c r="AL153" s="142"/>
      <c r="AM153" s="132">
        <v>0</v>
      </c>
      <c r="AN153" s="132">
        <v>0</v>
      </c>
      <c r="AO153" s="132">
        <v>0</v>
      </c>
      <c r="AP153" s="132">
        <v>0</v>
      </c>
      <c r="AQ153" s="132">
        <v>0</v>
      </c>
      <c r="AR153" s="132">
        <v>0</v>
      </c>
      <c r="AS153" s="116">
        <v>0</v>
      </c>
      <c r="AT153" s="134">
        <f t="shared" si="29"/>
        <v>0</v>
      </c>
      <c r="AU153" s="134">
        <f t="shared" si="26"/>
        <v>0</v>
      </c>
      <c r="AV153" s="142"/>
      <c r="AW153" s="132" t="s">
        <v>602</v>
      </c>
      <c r="AX153" s="132" t="s">
        <v>602</v>
      </c>
      <c r="AY153" s="132" t="s">
        <v>602</v>
      </c>
      <c r="AZ153" s="132" t="s">
        <v>602</v>
      </c>
      <c r="BA153" s="132" t="s">
        <v>602</v>
      </c>
      <c r="BB153" s="116"/>
      <c r="BC153" s="113"/>
      <c r="BD153" s="116"/>
      <c r="BE153" s="113"/>
      <c r="BF153" s="116"/>
      <c r="BG153" s="116"/>
      <c r="BH153" s="137">
        <f t="shared" si="27"/>
        <v>25000</v>
      </c>
      <c r="BI153" s="138">
        <f t="shared" si="28"/>
        <v>0</v>
      </c>
      <c r="BJ153" s="147"/>
      <c r="BK153" s="91"/>
    </row>
    <row r="154" spans="1:63" ht="15.75">
      <c r="A154" s="123">
        <v>501345</v>
      </c>
      <c r="B154" s="126">
        <v>208615</v>
      </c>
      <c r="C154" s="148" t="s">
        <v>1049</v>
      </c>
      <c r="D154" s="148" t="s">
        <v>1008</v>
      </c>
      <c r="E154" s="125" t="s">
        <v>1047</v>
      </c>
      <c r="F154" s="124" t="s">
        <v>1048</v>
      </c>
      <c r="G154" s="127" t="s">
        <v>53</v>
      </c>
      <c r="H154" s="149" t="s">
        <v>628</v>
      </c>
      <c r="I154" s="126" t="s">
        <v>598</v>
      </c>
      <c r="J154" s="126" t="s">
        <v>1050</v>
      </c>
      <c r="K154" s="128" t="s">
        <v>731</v>
      </c>
      <c r="L154" s="121" t="s">
        <v>515</v>
      </c>
      <c r="M154" s="123" t="s">
        <v>714</v>
      </c>
      <c r="N154" s="129">
        <v>42614</v>
      </c>
      <c r="O154" s="129">
        <v>43890</v>
      </c>
      <c r="P154" s="129">
        <v>44145</v>
      </c>
      <c r="Q154" s="144">
        <v>57214.04</v>
      </c>
      <c r="R154" s="150"/>
      <c r="S154" s="132">
        <v>0</v>
      </c>
      <c r="T154" s="132">
        <v>0</v>
      </c>
      <c r="U154" s="132">
        <v>55227</v>
      </c>
      <c r="V154" s="132"/>
      <c r="W154" s="132">
        <v>0</v>
      </c>
      <c r="X154" s="132">
        <v>0</v>
      </c>
      <c r="Y154" s="111">
        <v>55227</v>
      </c>
      <c r="Z154" s="133">
        <f t="shared" si="23"/>
        <v>55227</v>
      </c>
      <c r="AA154" s="133">
        <f t="shared" si="24"/>
        <v>0</v>
      </c>
      <c r="AB154" s="141"/>
      <c r="AC154" s="132">
        <v>0</v>
      </c>
      <c r="AD154" s="132">
        <v>0</v>
      </c>
      <c r="AE154" s="132">
        <f>41350-39362.96</f>
        <v>1987.0400000000009</v>
      </c>
      <c r="AF154" s="132">
        <v>0</v>
      </c>
      <c r="AG154" s="132">
        <v>0</v>
      </c>
      <c r="AH154" s="132"/>
      <c r="AI154" s="111">
        <v>1987.04</v>
      </c>
      <c r="AJ154" s="134">
        <f t="shared" si="30"/>
        <v>1987.0400000000009</v>
      </c>
      <c r="AK154" s="134">
        <f t="shared" si="25"/>
        <v>0</v>
      </c>
      <c r="AL154" s="142"/>
      <c r="AM154" s="135">
        <v>0</v>
      </c>
      <c r="AN154" s="135">
        <v>0</v>
      </c>
      <c r="AO154" s="135">
        <f>15000-15000</f>
        <v>0</v>
      </c>
      <c r="AP154" s="135"/>
      <c r="AQ154" s="135">
        <v>0</v>
      </c>
      <c r="AR154" s="135">
        <v>0</v>
      </c>
      <c r="AS154" s="116">
        <v>0</v>
      </c>
      <c r="AT154" s="134">
        <f t="shared" si="29"/>
        <v>0</v>
      </c>
      <c r="AU154" s="134">
        <f t="shared" si="26"/>
        <v>0</v>
      </c>
      <c r="AV154" s="142"/>
      <c r="AW154" s="135"/>
      <c r="AX154" s="135"/>
      <c r="AY154" s="135"/>
      <c r="AZ154" s="135"/>
      <c r="BA154" s="135"/>
      <c r="BB154" s="116"/>
      <c r="BC154" s="113"/>
      <c r="BD154" s="116"/>
      <c r="BE154" s="113"/>
      <c r="BF154" s="116"/>
      <c r="BG154" s="116"/>
      <c r="BH154" s="137">
        <f t="shared" si="27"/>
        <v>57214.04</v>
      </c>
      <c r="BI154" s="138">
        <f t="shared" si="28"/>
        <v>0</v>
      </c>
      <c r="BJ154" s="147"/>
      <c r="BK154" s="91"/>
    </row>
    <row r="155" spans="1:63" ht="15.75">
      <c r="A155" s="123">
        <v>500668</v>
      </c>
      <c r="B155" s="126">
        <v>208616</v>
      </c>
      <c r="C155" s="148" t="s">
        <v>1053</v>
      </c>
      <c r="D155" s="148" t="s">
        <v>865</v>
      </c>
      <c r="E155" s="125" t="s">
        <v>1052</v>
      </c>
      <c r="F155" s="124" t="s">
        <v>69</v>
      </c>
      <c r="G155" s="127" t="s">
        <v>53</v>
      </c>
      <c r="H155" s="149" t="s">
        <v>597</v>
      </c>
      <c r="I155" s="126" t="s">
        <v>598</v>
      </c>
      <c r="J155" s="126" t="s">
        <v>650</v>
      </c>
      <c r="K155" s="128" t="s">
        <v>630</v>
      </c>
      <c r="L155" s="121" t="s">
        <v>637</v>
      </c>
      <c r="M155" s="143" t="s">
        <v>638</v>
      </c>
      <c r="N155" s="129">
        <v>42248</v>
      </c>
      <c r="O155" s="129">
        <v>42643</v>
      </c>
      <c r="P155" s="129">
        <v>42643</v>
      </c>
      <c r="Q155" s="144">
        <v>75000</v>
      </c>
      <c r="R155" s="132">
        <v>75000</v>
      </c>
      <c r="S155" s="132"/>
      <c r="T155" s="132">
        <v>0</v>
      </c>
      <c r="U155" s="132">
        <v>0</v>
      </c>
      <c r="V155" s="132"/>
      <c r="W155" s="132">
        <v>0</v>
      </c>
      <c r="X155" s="132">
        <v>0</v>
      </c>
      <c r="Y155" s="111">
        <v>75000</v>
      </c>
      <c r="Z155" s="133">
        <f t="shared" si="23"/>
        <v>75000</v>
      </c>
      <c r="AA155" s="133">
        <f t="shared" si="24"/>
        <v>0</v>
      </c>
      <c r="AB155" s="141"/>
      <c r="AC155" s="132" t="s">
        <v>602</v>
      </c>
      <c r="AD155" s="132" t="s">
        <v>602</v>
      </c>
      <c r="AE155" s="132" t="s">
        <v>602</v>
      </c>
      <c r="AF155" s="132" t="s">
        <v>602</v>
      </c>
      <c r="AG155" s="132" t="s">
        <v>602</v>
      </c>
      <c r="AH155" s="132"/>
      <c r="AI155" s="111">
        <v>0</v>
      </c>
      <c r="AJ155" s="134">
        <f t="shared" si="30"/>
        <v>0</v>
      </c>
      <c r="AK155" s="134">
        <f t="shared" si="25"/>
        <v>0</v>
      </c>
      <c r="AL155" s="142"/>
      <c r="AM155" s="132">
        <v>0</v>
      </c>
      <c r="AN155" s="132">
        <v>0</v>
      </c>
      <c r="AO155" s="132">
        <v>0</v>
      </c>
      <c r="AP155" s="132">
        <v>0</v>
      </c>
      <c r="AQ155" s="132">
        <v>0</v>
      </c>
      <c r="AR155" s="132">
        <v>0</v>
      </c>
      <c r="AS155" s="116">
        <v>0</v>
      </c>
      <c r="AT155" s="134">
        <f t="shared" si="29"/>
        <v>0</v>
      </c>
      <c r="AU155" s="134">
        <f t="shared" si="26"/>
        <v>0</v>
      </c>
      <c r="AV155" s="142"/>
      <c r="AW155" s="132" t="s">
        <v>602</v>
      </c>
      <c r="AX155" s="132" t="s">
        <v>602</v>
      </c>
      <c r="AY155" s="132" t="s">
        <v>602</v>
      </c>
      <c r="AZ155" s="132" t="s">
        <v>602</v>
      </c>
      <c r="BA155" s="132" t="s">
        <v>602</v>
      </c>
      <c r="BB155" s="116"/>
      <c r="BC155" s="113"/>
      <c r="BD155" s="116"/>
      <c r="BE155" s="113"/>
      <c r="BF155" s="116"/>
      <c r="BG155" s="116"/>
      <c r="BH155" s="137">
        <f t="shared" si="27"/>
        <v>75000</v>
      </c>
      <c r="BI155" s="138">
        <f t="shared" si="28"/>
        <v>0</v>
      </c>
      <c r="BJ155" s="147"/>
      <c r="BK155" s="91"/>
    </row>
    <row r="156" spans="1:63" ht="15.75">
      <c r="A156" s="123">
        <v>500974</v>
      </c>
      <c r="B156" s="126">
        <v>208616</v>
      </c>
      <c r="C156" s="124" t="s">
        <v>1053</v>
      </c>
      <c r="D156" s="124" t="s">
        <v>865</v>
      </c>
      <c r="E156" s="125" t="s">
        <v>1052</v>
      </c>
      <c r="F156" s="124" t="s">
        <v>69</v>
      </c>
      <c r="G156" s="127" t="s">
        <v>53</v>
      </c>
      <c r="H156" s="126" t="s">
        <v>597</v>
      </c>
      <c r="I156" s="126" t="s">
        <v>598</v>
      </c>
      <c r="J156" s="126" t="s">
        <v>650</v>
      </c>
      <c r="K156" s="128" t="s">
        <v>630</v>
      </c>
      <c r="L156" s="121" t="s">
        <v>19</v>
      </c>
      <c r="M156" s="123" t="s">
        <v>661</v>
      </c>
      <c r="N156" s="129">
        <v>42522</v>
      </c>
      <c r="O156" s="129">
        <v>43251</v>
      </c>
      <c r="P156" s="129">
        <v>43251</v>
      </c>
      <c r="Q156" s="130">
        <v>101000</v>
      </c>
      <c r="R156" s="132">
        <v>50500</v>
      </c>
      <c r="S156" s="132">
        <v>0</v>
      </c>
      <c r="T156" s="132">
        <v>0</v>
      </c>
      <c r="U156" s="132">
        <v>0</v>
      </c>
      <c r="V156" s="132">
        <v>0</v>
      </c>
      <c r="W156" s="132">
        <v>0</v>
      </c>
      <c r="X156" s="132">
        <v>0</v>
      </c>
      <c r="Y156" s="111">
        <v>50500</v>
      </c>
      <c r="Z156" s="133">
        <f t="shared" si="23"/>
        <v>50500</v>
      </c>
      <c r="AA156" s="133">
        <f t="shared" si="24"/>
        <v>0</v>
      </c>
      <c r="AB156" s="132">
        <v>50500</v>
      </c>
      <c r="AC156" s="132">
        <v>0</v>
      </c>
      <c r="AD156" s="132">
        <v>0</v>
      </c>
      <c r="AE156" s="132">
        <v>0</v>
      </c>
      <c r="AF156" s="132">
        <v>0</v>
      </c>
      <c r="AG156" s="132">
        <v>0</v>
      </c>
      <c r="AH156" s="132"/>
      <c r="AI156" s="111">
        <v>50500</v>
      </c>
      <c r="AJ156" s="134">
        <f t="shared" si="30"/>
        <v>50500</v>
      </c>
      <c r="AK156" s="134">
        <f t="shared" si="25"/>
        <v>0</v>
      </c>
      <c r="AL156" s="145"/>
      <c r="AM156" s="132">
        <v>0</v>
      </c>
      <c r="AN156" s="132">
        <v>0</v>
      </c>
      <c r="AO156" s="132">
        <v>0</v>
      </c>
      <c r="AP156" s="132">
        <v>0</v>
      </c>
      <c r="AQ156" s="132">
        <v>0</v>
      </c>
      <c r="AR156" s="132">
        <v>0</v>
      </c>
      <c r="AS156" s="116">
        <v>0</v>
      </c>
      <c r="AT156" s="134">
        <f t="shared" si="29"/>
        <v>0</v>
      </c>
      <c r="AU156" s="134">
        <f t="shared" si="26"/>
        <v>0</v>
      </c>
      <c r="AV156" s="142"/>
      <c r="AW156" s="135"/>
      <c r="AX156" s="135"/>
      <c r="AY156" s="135"/>
      <c r="AZ156" s="135"/>
      <c r="BA156" s="135"/>
      <c r="BB156" s="116"/>
      <c r="BC156" s="113"/>
      <c r="BD156" s="116"/>
      <c r="BE156" s="113"/>
      <c r="BF156" s="116"/>
      <c r="BG156" s="116"/>
      <c r="BH156" s="137">
        <f t="shared" si="27"/>
        <v>101000</v>
      </c>
      <c r="BI156" s="138">
        <f t="shared" si="28"/>
        <v>0</v>
      </c>
      <c r="BJ156" s="126"/>
      <c r="BK156" s="91"/>
    </row>
    <row r="157" spans="1:63" ht="15.75">
      <c r="A157" s="123">
        <v>501343</v>
      </c>
      <c r="B157" s="126">
        <v>208616</v>
      </c>
      <c r="C157" s="124" t="s">
        <v>1053</v>
      </c>
      <c r="D157" s="124" t="s">
        <v>865</v>
      </c>
      <c r="E157" s="125" t="s">
        <v>1052</v>
      </c>
      <c r="F157" s="124" t="s">
        <v>69</v>
      </c>
      <c r="G157" s="127" t="s">
        <v>53</v>
      </c>
      <c r="H157" s="126" t="s">
        <v>597</v>
      </c>
      <c r="I157" s="126" t="s">
        <v>598</v>
      </c>
      <c r="J157" s="126" t="s">
        <v>650</v>
      </c>
      <c r="K157" s="128" t="s">
        <v>651</v>
      </c>
      <c r="L157" s="121" t="s">
        <v>515</v>
      </c>
      <c r="M157" s="123" t="s">
        <v>1054</v>
      </c>
      <c r="N157" s="129">
        <v>42614</v>
      </c>
      <c r="O157" s="129">
        <v>43708</v>
      </c>
      <c r="P157" s="129">
        <v>43343</v>
      </c>
      <c r="Q157" s="130">
        <v>190250</v>
      </c>
      <c r="R157" s="113"/>
      <c r="S157" s="132">
        <v>0</v>
      </c>
      <c r="T157" s="132">
        <v>0</v>
      </c>
      <c r="U157" s="132">
        <v>51750</v>
      </c>
      <c r="V157" s="132"/>
      <c r="W157" s="132">
        <v>10000</v>
      </c>
      <c r="X157" s="132">
        <v>5000</v>
      </c>
      <c r="Y157" s="111">
        <v>66750</v>
      </c>
      <c r="Z157" s="133">
        <f t="shared" si="23"/>
        <v>66750</v>
      </c>
      <c r="AA157" s="133">
        <f t="shared" si="24"/>
        <v>0</v>
      </c>
      <c r="AB157" s="141"/>
      <c r="AC157" s="132">
        <v>0</v>
      </c>
      <c r="AD157" s="132">
        <v>0</v>
      </c>
      <c r="AE157" s="132">
        <v>51750</v>
      </c>
      <c r="AF157" s="132">
        <v>10000</v>
      </c>
      <c r="AG157" s="132">
        <v>0</v>
      </c>
      <c r="AH157" s="132"/>
      <c r="AI157" s="111">
        <v>61750</v>
      </c>
      <c r="AJ157" s="134">
        <f t="shared" si="30"/>
        <v>61750</v>
      </c>
      <c r="AK157" s="134">
        <f t="shared" si="25"/>
        <v>0</v>
      </c>
      <c r="AL157" s="142"/>
      <c r="AM157" s="135">
        <v>0</v>
      </c>
      <c r="AN157" s="135">
        <v>0</v>
      </c>
      <c r="AO157" s="135">
        <v>51750</v>
      </c>
      <c r="AP157" s="135"/>
      <c r="AQ157" s="135">
        <v>10000</v>
      </c>
      <c r="AR157" s="135">
        <v>0</v>
      </c>
      <c r="AS157" s="116">
        <v>61750</v>
      </c>
      <c r="AT157" s="134">
        <f t="shared" si="29"/>
        <v>61750</v>
      </c>
      <c r="AU157" s="134">
        <f t="shared" si="26"/>
        <v>0</v>
      </c>
      <c r="AV157" s="142"/>
      <c r="AW157" s="135"/>
      <c r="AX157" s="135"/>
      <c r="AY157" s="135"/>
      <c r="AZ157" s="135"/>
      <c r="BA157" s="135"/>
      <c r="BB157" s="116"/>
      <c r="BC157" s="113"/>
      <c r="BD157" s="116"/>
      <c r="BE157" s="113"/>
      <c r="BF157" s="116"/>
      <c r="BG157" s="116"/>
      <c r="BH157" s="137">
        <f t="shared" si="27"/>
        <v>190250</v>
      </c>
      <c r="BI157" s="138">
        <f t="shared" si="28"/>
        <v>0</v>
      </c>
      <c r="BJ157" s="126"/>
      <c r="BK157" s="91"/>
    </row>
    <row r="158" spans="1:63" ht="15.75">
      <c r="A158" s="123">
        <v>501349</v>
      </c>
      <c r="B158" s="126">
        <v>208616</v>
      </c>
      <c r="C158" s="124" t="s">
        <v>1053</v>
      </c>
      <c r="D158" s="124" t="s">
        <v>865</v>
      </c>
      <c r="E158" s="125" t="s">
        <v>1052</v>
      </c>
      <c r="F158" s="124" t="s">
        <v>69</v>
      </c>
      <c r="G158" s="127" t="s">
        <v>53</v>
      </c>
      <c r="H158" s="126" t="s">
        <v>628</v>
      </c>
      <c r="I158" s="126" t="s">
        <v>598</v>
      </c>
      <c r="J158" s="126" t="s">
        <v>650</v>
      </c>
      <c r="K158" s="128" t="s">
        <v>651</v>
      </c>
      <c r="L158" s="121" t="s">
        <v>515</v>
      </c>
      <c r="M158" s="123" t="s">
        <v>640</v>
      </c>
      <c r="N158" s="129">
        <v>42614</v>
      </c>
      <c r="O158" s="129">
        <v>43708</v>
      </c>
      <c r="P158" s="129">
        <v>43708</v>
      </c>
      <c r="Q158" s="130">
        <v>57800</v>
      </c>
      <c r="R158" s="113"/>
      <c r="S158" s="132">
        <v>0</v>
      </c>
      <c r="T158" s="132">
        <v>0</v>
      </c>
      <c r="U158" s="132">
        <v>15600</v>
      </c>
      <c r="V158" s="132"/>
      <c r="W158" s="132">
        <v>0</v>
      </c>
      <c r="X158" s="132">
        <v>0</v>
      </c>
      <c r="Y158" s="111">
        <v>15600</v>
      </c>
      <c r="Z158" s="133">
        <f t="shared" si="23"/>
        <v>15600</v>
      </c>
      <c r="AA158" s="133">
        <f t="shared" si="24"/>
        <v>0</v>
      </c>
      <c r="AB158" s="141"/>
      <c r="AC158" s="132">
        <v>0</v>
      </c>
      <c r="AD158" s="132">
        <v>0</v>
      </c>
      <c r="AE158" s="132">
        <v>15600</v>
      </c>
      <c r="AF158" s="132">
        <v>5500</v>
      </c>
      <c r="AG158" s="132">
        <v>0</v>
      </c>
      <c r="AH158" s="132"/>
      <c r="AI158" s="111">
        <v>21100</v>
      </c>
      <c r="AJ158" s="134">
        <f t="shared" si="30"/>
        <v>21100</v>
      </c>
      <c r="AK158" s="134">
        <f t="shared" si="25"/>
        <v>0</v>
      </c>
      <c r="AL158" s="142"/>
      <c r="AM158" s="135">
        <v>0</v>
      </c>
      <c r="AN158" s="135">
        <v>0</v>
      </c>
      <c r="AO158" s="135">
        <v>15600</v>
      </c>
      <c r="AP158" s="135"/>
      <c r="AQ158" s="135">
        <v>5500</v>
      </c>
      <c r="AR158" s="135">
        <v>0</v>
      </c>
      <c r="AS158" s="116">
        <v>21100</v>
      </c>
      <c r="AT158" s="134">
        <f t="shared" si="29"/>
        <v>21100</v>
      </c>
      <c r="AU158" s="134">
        <f t="shared" si="26"/>
        <v>0</v>
      </c>
      <c r="AV158" s="142"/>
      <c r="AW158" s="135"/>
      <c r="AX158" s="135"/>
      <c r="AY158" s="135"/>
      <c r="AZ158" s="135"/>
      <c r="BA158" s="135"/>
      <c r="BB158" s="116"/>
      <c r="BC158" s="113"/>
      <c r="BD158" s="116"/>
      <c r="BE158" s="113"/>
      <c r="BF158" s="116"/>
      <c r="BG158" s="116"/>
      <c r="BH158" s="137">
        <f t="shared" si="27"/>
        <v>57800</v>
      </c>
      <c r="BI158" s="138">
        <f t="shared" si="28"/>
        <v>0</v>
      </c>
      <c r="BJ158" s="126"/>
      <c r="BK158" s="91"/>
    </row>
    <row r="159" spans="1:63" ht="15.75">
      <c r="A159" s="123">
        <v>502535</v>
      </c>
      <c r="B159" s="126">
        <v>208616</v>
      </c>
      <c r="C159" s="124" t="s">
        <v>1053</v>
      </c>
      <c r="D159" s="124" t="s">
        <v>865</v>
      </c>
      <c r="E159" s="125" t="s">
        <v>1052</v>
      </c>
      <c r="F159" s="124" t="s">
        <v>69</v>
      </c>
      <c r="G159" s="127" t="s">
        <v>53</v>
      </c>
      <c r="H159" s="126" t="s">
        <v>597</v>
      </c>
      <c r="I159" s="126" t="s">
        <v>598</v>
      </c>
      <c r="J159" s="126" t="s">
        <v>650</v>
      </c>
      <c r="K159" s="128" t="s">
        <v>651</v>
      </c>
      <c r="L159" s="121" t="s">
        <v>517</v>
      </c>
      <c r="M159" s="123" t="s">
        <v>1055</v>
      </c>
      <c r="N159" s="129">
        <v>43070</v>
      </c>
      <c r="O159" s="129">
        <v>44196</v>
      </c>
      <c r="P159" s="129">
        <v>44196</v>
      </c>
      <c r="Q159" s="130">
        <v>150000</v>
      </c>
      <c r="R159" s="113"/>
      <c r="S159" s="132">
        <v>16667</v>
      </c>
      <c r="T159" s="132">
        <v>0</v>
      </c>
      <c r="U159" s="132">
        <v>0</v>
      </c>
      <c r="V159" s="132"/>
      <c r="W159" s="132">
        <v>0</v>
      </c>
      <c r="X159" s="132">
        <v>0</v>
      </c>
      <c r="Y159" s="111">
        <v>16667</v>
      </c>
      <c r="Z159" s="133">
        <f t="shared" si="23"/>
        <v>16667</v>
      </c>
      <c r="AA159" s="133">
        <f t="shared" si="24"/>
        <v>0</v>
      </c>
      <c r="AB159" s="141"/>
      <c r="AC159" s="132">
        <v>50000</v>
      </c>
      <c r="AD159" s="132">
        <v>0</v>
      </c>
      <c r="AE159" s="132">
        <v>0</v>
      </c>
      <c r="AF159" s="132">
        <v>0</v>
      </c>
      <c r="AG159" s="132">
        <v>0</v>
      </c>
      <c r="AH159" s="132"/>
      <c r="AI159" s="111">
        <v>50000</v>
      </c>
      <c r="AJ159" s="134">
        <f t="shared" si="30"/>
        <v>50000</v>
      </c>
      <c r="AK159" s="134">
        <f t="shared" si="25"/>
        <v>0</v>
      </c>
      <c r="AL159" s="142"/>
      <c r="AM159" s="132">
        <v>50000</v>
      </c>
      <c r="AN159" s="132">
        <v>0</v>
      </c>
      <c r="AO159" s="132">
        <v>0</v>
      </c>
      <c r="AP159" s="132">
        <v>0</v>
      </c>
      <c r="AQ159" s="132">
        <v>0</v>
      </c>
      <c r="AR159" s="135">
        <v>0</v>
      </c>
      <c r="AS159" s="116">
        <v>50000</v>
      </c>
      <c r="AT159" s="134">
        <f t="shared" si="29"/>
        <v>50000</v>
      </c>
      <c r="AU159" s="134">
        <f t="shared" si="26"/>
        <v>0</v>
      </c>
      <c r="AV159" s="142"/>
      <c r="AW159" s="135">
        <v>33333</v>
      </c>
      <c r="AX159" s="151">
        <v>0</v>
      </c>
      <c r="AY159" s="151">
        <v>0</v>
      </c>
      <c r="AZ159" s="151">
        <v>0</v>
      </c>
      <c r="BA159" s="151">
        <v>0</v>
      </c>
      <c r="BB159" s="116">
        <f>SUM(AW159:BA159)</f>
        <v>33333</v>
      </c>
      <c r="BC159" s="113"/>
      <c r="BD159" s="116"/>
      <c r="BE159" s="113"/>
      <c r="BF159" s="116"/>
      <c r="BG159" s="116"/>
      <c r="BH159" s="137">
        <f t="shared" si="27"/>
        <v>150000</v>
      </c>
      <c r="BI159" s="138">
        <f t="shared" si="28"/>
        <v>0</v>
      </c>
      <c r="BJ159" s="126" t="s">
        <v>1056</v>
      </c>
      <c r="BK159" s="91"/>
    </row>
    <row r="160" spans="1:63" ht="15.75">
      <c r="A160" s="123">
        <v>507779</v>
      </c>
      <c r="B160" s="126">
        <v>208616</v>
      </c>
      <c r="C160" s="124" t="s">
        <v>1053</v>
      </c>
      <c r="D160" s="124" t="s">
        <v>865</v>
      </c>
      <c r="E160" s="125" t="s">
        <v>1052</v>
      </c>
      <c r="F160" s="124" t="s">
        <v>69</v>
      </c>
      <c r="G160" s="127" t="s">
        <v>53</v>
      </c>
      <c r="H160" s="149" t="s">
        <v>628</v>
      </c>
      <c r="I160" s="126" t="s">
        <v>598</v>
      </c>
      <c r="J160" s="126" t="s">
        <v>650</v>
      </c>
      <c r="K160" s="128" t="s">
        <v>651</v>
      </c>
      <c r="L160" s="121" t="s">
        <v>519</v>
      </c>
      <c r="M160" s="123" t="s">
        <v>641</v>
      </c>
      <c r="N160" s="129">
        <v>43709</v>
      </c>
      <c r="O160" s="129">
        <v>44530</v>
      </c>
      <c r="P160" s="129">
        <v>44530</v>
      </c>
      <c r="Q160" s="130">
        <f>80000+80000</f>
        <v>160000</v>
      </c>
      <c r="R160" s="113"/>
      <c r="S160" s="132">
        <v>50000</v>
      </c>
      <c r="T160" s="132">
        <v>0</v>
      </c>
      <c r="U160" s="132">
        <v>20000</v>
      </c>
      <c r="V160" s="132">
        <v>0</v>
      </c>
      <c r="W160" s="132">
        <v>10000</v>
      </c>
      <c r="X160" s="132">
        <v>0</v>
      </c>
      <c r="Y160" s="111">
        <v>80000</v>
      </c>
      <c r="Z160" s="133">
        <f t="shared" ref="Z160:Z185" si="31">SUM(R160:X160)</f>
        <v>80000</v>
      </c>
      <c r="AA160" s="133">
        <f t="shared" ref="AA160:AA185" si="32">Z160-Y160</f>
        <v>0</v>
      </c>
      <c r="AB160" s="141"/>
      <c r="AC160" s="132">
        <v>50000</v>
      </c>
      <c r="AD160" s="132">
        <v>0</v>
      </c>
      <c r="AE160" s="132">
        <v>20000</v>
      </c>
      <c r="AF160" s="132">
        <v>0</v>
      </c>
      <c r="AG160" s="132">
        <v>10000</v>
      </c>
      <c r="AH160" s="132">
        <v>0</v>
      </c>
      <c r="AI160" s="111">
        <v>80000</v>
      </c>
      <c r="AJ160" s="134">
        <f t="shared" si="30"/>
        <v>80000</v>
      </c>
      <c r="AK160" s="134">
        <f t="shared" si="25"/>
        <v>0</v>
      </c>
      <c r="AL160" s="142"/>
      <c r="AM160" s="132">
        <v>50000</v>
      </c>
      <c r="AN160" s="132">
        <v>0</v>
      </c>
      <c r="AO160" s="132">
        <v>20000</v>
      </c>
      <c r="AP160" s="132">
        <v>0</v>
      </c>
      <c r="AQ160" s="132">
        <v>10000</v>
      </c>
      <c r="AR160" s="132">
        <v>0</v>
      </c>
      <c r="AS160" s="116">
        <f>SUM(AM160:AR160)</f>
        <v>80000</v>
      </c>
      <c r="AT160" s="134">
        <f t="shared" si="29"/>
        <v>80000</v>
      </c>
      <c r="AU160" s="134">
        <f t="shared" si="26"/>
        <v>0</v>
      </c>
      <c r="AV160" s="142"/>
      <c r="AW160" s="135"/>
      <c r="AX160" s="135"/>
      <c r="AY160" s="135"/>
      <c r="AZ160" s="135"/>
      <c r="BA160" s="135"/>
      <c r="BB160" s="116"/>
      <c r="BC160" s="113"/>
      <c r="BD160" s="116"/>
      <c r="BE160" s="113"/>
      <c r="BF160" s="116"/>
      <c r="BG160" s="116"/>
      <c r="BH160" s="137">
        <f t="shared" si="27"/>
        <v>240000</v>
      </c>
      <c r="BI160" s="138">
        <f t="shared" si="28"/>
        <v>80000</v>
      </c>
      <c r="BJ160" s="126"/>
      <c r="BK160" s="91"/>
    </row>
    <row r="161" spans="1:63" ht="15.75">
      <c r="A161" s="123">
        <v>500686</v>
      </c>
      <c r="B161" s="126">
        <v>208617</v>
      </c>
      <c r="C161" s="124" t="s">
        <v>1060</v>
      </c>
      <c r="D161" s="124" t="s">
        <v>1061</v>
      </c>
      <c r="E161" s="125" t="s">
        <v>1058</v>
      </c>
      <c r="F161" s="124" t="s">
        <v>1059</v>
      </c>
      <c r="G161" s="127" t="s">
        <v>68</v>
      </c>
      <c r="H161" s="126" t="s">
        <v>597</v>
      </c>
      <c r="I161" s="126" t="s">
        <v>598</v>
      </c>
      <c r="J161" s="126" t="s">
        <v>888</v>
      </c>
      <c r="K161" s="128" t="s">
        <v>731</v>
      </c>
      <c r="L161" s="121" t="s">
        <v>652</v>
      </c>
      <c r="M161" s="123" t="s">
        <v>638</v>
      </c>
      <c r="N161" s="129">
        <v>42339</v>
      </c>
      <c r="O161" s="129">
        <v>42551</v>
      </c>
      <c r="P161" s="129">
        <v>42573</v>
      </c>
      <c r="Q161" s="130">
        <v>24990</v>
      </c>
      <c r="R161" s="113"/>
      <c r="S161" s="132">
        <v>24990</v>
      </c>
      <c r="T161" s="132">
        <v>0</v>
      </c>
      <c r="U161" s="132">
        <v>0</v>
      </c>
      <c r="V161" s="132"/>
      <c r="W161" s="132">
        <v>0</v>
      </c>
      <c r="X161" s="132">
        <v>0</v>
      </c>
      <c r="Y161" s="111">
        <v>24990</v>
      </c>
      <c r="Z161" s="133">
        <f t="shared" si="31"/>
        <v>24990</v>
      </c>
      <c r="AA161" s="133">
        <f t="shared" si="32"/>
        <v>0</v>
      </c>
      <c r="AB161" s="141"/>
      <c r="AC161" s="132" t="s">
        <v>602</v>
      </c>
      <c r="AD161" s="132" t="s">
        <v>602</v>
      </c>
      <c r="AE161" s="132" t="s">
        <v>602</v>
      </c>
      <c r="AF161" s="132" t="s">
        <v>602</v>
      </c>
      <c r="AG161" s="132" t="s">
        <v>602</v>
      </c>
      <c r="AH161" s="132"/>
      <c r="AI161" s="111">
        <v>0</v>
      </c>
      <c r="AJ161" s="134">
        <f t="shared" si="30"/>
        <v>0</v>
      </c>
      <c r="AK161" s="134">
        <f t="shared" si="25"/>
        <v>0</v>
      </c>
      <c r="AL161" s="142"/>
      <c r="AM161" s="132">
        <v>0</v>
      </c>
      <c r="AN161" s="132">
        <v>0</v>
      </c>
      <c r="AO161" s="132">
        <v>0</v>
      </c>
      <c r="AP161" s="132">
        <v>0</v>
      </c>
      <c r="AQ161" s="132">
        <v>0</v>
      </c>
      <c r="AR161" s="132">
        <v>0</v>
      </c>
      <c r="AS161" s="116">
        <v>0</v>
      </c>
      <c r="AT161" s="134">
        <f t="shared" si="29"/>
        <v>0</v>
      </c>
      <c r="AU161" s="134">
        <f t="shared" si="26"/>
        <v>0</v>
      </c>
      <c r="AV161" s="142"/>
      <c r="AW161" s="135"/>
      <c r="AX161" s="135"/>
      <c r="AY161" s="135"/>
      <c r="AZ161" s="135"/>
      <c r="BA161" s="135"/>
      <c r="BB161" s="116"/>
      <c r="BC161" s="113"/>
      <c r="BD161" s="116"/>
      <c r="BE161" s="113"/>
      <c r="BF161" s="116"/>
      <c r="BG161" s="116"/>
      <c r="BH161" s="137">
        <f t="shared" si="27"/>
        <v>24990</v>
      </c>
      <c r="BI161" s="138">
        <f t="shared" si="28"/>
        <v>0</v>
      </c>
      <c r="BJ161" s="126" t="s">
        <v>766</v>
      </c>
      <c r="BK161" s="91"/>
    </row>
    <row r="162" spans="1:63" ht="15.75">
      <c r="A162" s="123">
        <v>501339</v>
      </c>
      <c r="B162" s="126">
        <v>208617</v>
      </c>
      <c r="C162" s="124" t="s">
        <v>1060</v>
      </c>
      <c r="D162" s="124" t="s">
        <v>1061</v>
      </c>
      <c r="E162" s="125" t="s">
        <v>1058</v>
      </c>
      <c r="F162" s="124" t="s">
        <v>1059</v>
      </c>
      <c r="G162" s="127" t="s">
        <v>68</v>
      </c>
      <c r="H162" s="126" t="s">
        <v>628</v>
      </c>
      <c r="I162" s="126" t="s">
        <v>598</v>
      </c>
      <c r="J162" s="126" t="s">
        <v>888</v>
      </c>
      <c r="K162" s="128" t="s">
        <v>731</v>
      </c>
      <c r="L162" s="121" t="s">
        <v>515</v>
      </c>
      <c r="M162" s="123" t="s">
        <v>857</v>
      </c>
      <c r="N162" s="129">
        <v>42614</v>
      </c>
      <c r="O162" s="129">
        <v>43951</v>
      </c>
      <c r="P162" s="129">
        <v>44117</v>
      </c>
      <c r="Q162" s="130">
        <v>314180</v>
      </c>
      <c r="R162" s="113"/>
      <c r="S162" s="132">
        <v>81000</v>
      </c>
      <c r="T162" s="132">
        <v>0</v>
      </c>
      <c r="U162" s="132">
        <v>14400</v>
      </c>
      <c r="V162" s="132"/>
      <c r="W162" s="132">
        <v>8000</v>
      </c>
      <c r="X162" s="132">
        <v>0</v>
      </c>
      <c r="Y162" s="111">
        <v>103400</v>
      </c>
      <c r="Z162" s="133">
        <f t="shared" si="31"/>
        <v>103400</v>
      </c>
      <c r="AA162" s="133">
        <f t="shared" si="32"/>
        <v>0</v>
      </c>
      <c r="AB162" s="141"/>
      <c r="AC162" s="132">
        <v>81000</v>
      </c>
      <c r="AD162" s="132">
        <v>0</v>
      </c>
      <c r="AE162" s="132">
        <v>14400</v>
      </c>
      <c r="AF162" s="132">
        <v>10000</v>
      </c>
      <c r="AG162" s="132">
        <v>0</v>
      </c>
      <c r="AH162" s="132"/>
      <c r="AI162" s="111">
        <v>105400</v>
      </c>
      <c r="AJ162" s="134">
        <f t="shared" si="30"/>
        <v>105400</v>
      </c>
      <c r="AK162" s="134">
        <f t="shared" si="25"/>
        <v>0</v>
      </c>
      <c r="AL162" s="142"/>
      <c r="AM162" s="135">
        <v>81000</v>
      </c>
      <c r="AN162" s="135">
        <v>0</v>
      </c>
      <c r="AO162" s="135">
        <v>14380</v>
      </c>
      <c r="AP162" s="135"/>
      <c r="AQ162" s="135">
        <v>10000</v>
      </c>
      <c r="AR162" s="135">
        <v>0</v>
      </c>
      <c r="AS162" s="116">
        <v>105380</v>
      </c>
      <c r="AT162" s="134">
        <f t="shared" si="29"/>
        <v>105380</v>
      </c>
      <c r="AU162" s="134">
        <f t="shared" si="26"/>
        <v>0</v>
      </c>
      <c r="AV162" s="142"/>
      <c r="AW162" s="135"/>
      <c r="AX162" s="135"/>
      <c r="AY162" s="135"/>
      <c r="AZ162" s="135"/>
      <c r="BA162" s="135"/>
      <c r="BB162" s="116"/>
      <c r="BC162" s="113"/>
      <c r="BD162" s="116"/>
      <c r="BE162" s="113"/>
      <c r="BF162" s="116"/>
      <c r="BG162" s="116"/>
      <c r="BH162" s="137">
        <f t="shared" si="27"/>
        <v>314180</v>
      </c>
      <c r="BI162" s="138">
        <f t="shared" si="28"/>
        <v>0</v>
      </c>
      <c r="BJ162" s="126"/>
      <c r="BK162" s="91"/>
    </row>
    <row r="163" spans="1:63" ht="15.75">
      <c r="A163" s="123">
        <v>504322</v>
      </c>
      <c r="B163" s="126">
        <v>208617</v>
      </c>
      <c r="C163" s="124" t="s">
        <v>1060</v>
      </c>
      <c r="D163" s="124" t="s">
        <v>1061</v>
      </c>
      <c r="E163" s="125" t="s">
        <v>1058</v>
      </c>
      <c r="F163" s="124" t="s">
        <v>1059</v>
      </c>
      <c r="G163" s="127" t="s">
        <v>68</v>
      </c>
      <c r="H163" s="126" t="s">
        <v>597</v>
      </c>
      <c r="I163" s="126" t="s">
        <v>598</v>
      </c>
      <c r="J163" s="126" t="s">
        <v>888</v>
      </c>
      <c r="K163" s="128" t="s">
        <v>731</v>
      </c>
      <c r="L163" s="121" t="s">
        <v>517</v>
      </c>
      <c r="M163" s="123" t="s">
        <v>1062</v>
      </c>
      <c r="N163" s="129">
        <v>43221</v>
      </c>
      <c r="O163" s="129">
        <v>44408</v>
      </c>
      <c r="P163" s="129">
        <v>44408</v>
      </c>
      <c r="Q163" s="130">
        <f>45833+50000+50000</f>
        <v>145833</v>
      </c>
      <c r="R163" s="113"/>
      <c r="S163" s="132">
        <v>45833</v>
      </c>
      <c r="T163" s="132">
        <v>0</v>
      </c>
      <c r="U163" s="132">
        <v>0</v>
      </c>
      <c r="V163" s="132"/>
      <c r="W163" s="132">
        <v>0</v>
      </c>
      <c r="X163" s="132">
        <v>0</v>
      </c>
      <c r="Y163" s="111">
        <v>45833</v>
      </c>
      <c r="Z163" s="133">
        <f t="shared" si="31"/>
        <v>45833</v>
      </c>
      <c r="AA163" s="133">
        <f t="shared" si="32"/>
        <v>0</v>
      </c>
      <c r="AB163" s="141"/>
      <c r="AC163" s="132">
        <v>50000</v>
      </c>
      <c r="AD163" s="132">
        <v>0</v>
      </c>
      <c r="AE163" s="132">
        <v>0</v>
      </c>
      <c r="AF163" s="132">
        <v>0</v>
      </c>
      <c r="AG163" s="132">
        <v>0</v>
      </c>
      <c r="AH163" s="132"/>
      <c r="AI163" s="111">
        <v>50000</v>
      </c>
      <c r="AJ163" s="134">
        <f t="shared" si="30"/>
        <v>50000</v>
      </c>
      <c r="AK163" s="134">
        <f t="shared" si="25"/>
        <v>0</v>
      </c>
      <c r="AL163" s="142"/>
      <c r="AM163" s="132">
        <v>50000</v>
      </c>
      <c r="AN163" s="132">
        <v>0</v>
      </c>
      <c r="AO163" s="132">
        <v>0</v>
      </c>
      <c r="AP163" s="132">
        <v>0</v>
      </c>
      <c r="AQ163" s="132">
        <v>0</v>
      </c>
      <c r="AR163" s="135">
        <v>0</v>
      </c>
      <c r="AS163" s="116">
        <v>50000</v>
      </c>
      <c r="AT163" s="134">
        <f t="shared" si="29"/>
        <v>50000</v>
      </c>
      <c r="AU163" s="134">
        <f t="shared" si="26"/>
        <v>0</v>
      </c>
      <c r="AV163" s="142"/>
      <c r="AW163" s="135"/>
      <c r="AX163" s="135"/>
      <c r="AY163" s="135"/>
      <c r="AZ163" s="135"/>
      <c r="BA163" s="135"/>
      <c r="BB163" s="116"/>
      <c r="BC163" s="113"/>
      <c r="BD163" s="116"/>
      <c r="BE163" s="113"/>
      <c r="BF163" s="116"/>
      <c r="BG163" s="116"/>
      <c r="BH163" s="137">
        <f t="shared" si="27"/>
        <v>145833</v>
      </c>
      <c r="BI163" s="138">
        <f t="shared" si="28"/>
        <v>0</v>
      </c>
      <c r="BJ163" s="126" t="s">
        <v>1063</v>
      </c>
      <c r="BK163" s="91"/>
    </row>
    <row r="164" spans="1:63" ht="15.75">
      <c r="A164" s="123">
        <v>506459</v>
      </c>
      <c r="B164" s="126">
        <v>208617</v>
      </c>
      <c r="C164" s="124" t="s">
        <v>1060</v>
      </c>
      <c r="D164" s="124" t="s">
        <v>1061</v>
      </c>
      <c r="E164" s="124" t="s">
        <v>1058</v>
      </c>
      <c r="F164" s="124" t="s">
        <v>1059</v>
      </c>
      <c r="G164" s="127" t="s">
        <v>68</v>
      </c>
      <c r="H164" s="126" t="s">
        <v>628</v>
      </c>
      <c r="I164" s="126" t="s">
        <v>598</v>
      </c>
      <c r="J164" s="126" t="s">
        <v>888</v>
      </c>
      <c r="K164" s="128" t="s">
        <v>731</v>
      </c>
      <c r="L164" s="121" t="s">
        <v>19</v>
      </c>
      <c r="M164" s="123" t="s">
        <v>858</v>
      </c>
      <c r="N164" s="129">
        <v>43556</v>
      </c>
      <c r="O164" s="129">
        <v>44377</v>
      </c>
      <c r="P164" s="129">
        <v>44377</v>
      </c>
      <c r="Q164" s="130">
        <f>30000*2</f>
        <v>60000</v>
      </c>
      <c r="R164" s="113"/>
      <c r="S164" s="132">
        <v>14000</v>
      </c>
      <c r="T164" s="132">
        <v>0</v>
      </c>
      <c r="U164" s="132">
        <v>10000</v>
      </c>
      <c r="V164" s="132">
        <v>0</v>
      </c>
      <c r="W164" s="132">
        <v>6000</v>
      </c>
      <c r="X164" s="132">
        <v>0</v>
      </c>
      <c r="Y164" s="111">
        <v>30000</v>
      </c>
      <c r="Z164" s="133">
        <f t="shared" si="31"/>
        <v>30000</v>
      </c>
      <c r="AA164" s="133">
        <f t="shared" si="32"/>
        <v>0</v>
      </c>
      <c r="AB164" s="141"/>
      <c r="AC164" s="132">
        <v>14000</v>
      </c>
      <c r="AD164" s="132">
        <v>0</v>
      </c>
      <c r="AE164" s="132">
        <v>10000</v>
      </c>
      <c r="AF164" s="132">
        <v>0</v>
      </c>
      <c r="AG164" s="132">
        <v>6000</v>
      </c>
      <c r="AH164" s="132">
        <v>0</v>
      </c>
      <c r="AI164" s="111">
        <v>30000</v>
      </c>
      <c r="AJ164" s="134">
        <f t="shared" si="30"/>
        <v>30000</v>
      </c>
      <c r="AK164" s="134">
        <f t="shared" si="25"/>
        <v>0</v>
      </c>
      <c r="AL164" s="145"/>
      <c r="AM164" s="132">
        <v>0</v>
      </c>
      <c r="AN164" s="132">
        <v>0</v>
      </c>
      <c r="AO164" s="132">
        <v>0</v>
      </c>
      <c r="AP164" s="132">
        <v>0</v>
      </c>
      <c r="AQ164" s="132">
        <v>0</v>
      </c>
      <c r="AR164" s="132">
        <v>0</v>
      </c>
      <c r="AS164" s="116"/>
      <c r="AT164" s="134">
        <f t="shared" si="29"/>
        <v>0</v>
      </c>
      <c r="AU164" s="134">
        <f t="shared" si="26"/>
        <v>0</v>
      </c>
      <c r="AV164" s="142"/>
      <c r="AW164" s="135"/>
      <c r="AX164" s="135"/>
      <c r="AY164" s="135"/>
      <c r="AZ164" s="135"/>
      <c r="BA164" s="135"/>
      <c r="BB164" s="116"/>
      <c r="BC164" s="113"/>
      <c r="BD164" s="116"/>
      <c r="BE164" s="113"/>
      <c r="BF164" s="116"/>
      <c r="BG164" s="116"/>
      <c r="BH164" s="137">
        <f t="shared" si="27"/>
        <v>60000</v>
      </c>
      <c r="BI164" s="138">
        <f t="shared" si="28"/>
        <v>0</v>
      </c>
      <c r="BJ164" s="155" t="s">
        <v>821</v>
      </c>
      <c r="BK164" s="91"/>
    </row>
    <row r="165" spans="1:63" ht="15.75">
      <c r="A165" s="123">
        <v>500674</v>
      </c>
      <c r="B165" s="126">
        <v>208618</v>
      </c>
      <c r="C165" s="124" t="s">
        <v>1066</v>
      </c>
      <c r="D165" s="124" t="s">
        <v>1067</v>
      </c>
      <c r="E165" s="125" t="s">
        <v>1064</v>
      </c>
      <c r="F165" s="124" t="s">
        <v>1065</v>
      </c>
      <c r="G165" s="127" t="s">
        <v>68</v>
      </c>
      <c r="H165" s="126" t="s">
        <v>597</v>
      </c>
      <c r="I165" s="126" t="s">
        <v>598</v>
      </c>
      <c r="J165" s="126" t="s">
        <v>672</v>
      </c>
      <c r="K165" s="128" t="s">
        <v>673</v>
      </c>
      <c r="L165" s="121" t="s">
        <v>637</v>
      </c>
      <c r="M165" s="123" t="s">
        <v>638</v>
      </c>
      <c r="N165" s="129">
        <v>42248</v>
      </c>
      <c r="O165" s="129">
        <v>42643</v>
      </c>
      <c r="P165" s="129">
        <v>42643</v>
      </c>
      <c r="Q165" s="130">
        <v>99138</v>
      </c>
      <c r="R165" s="132">
        <v>99138</v>
      </c>
      <c r="S165" s="132"/>
      <c r="T165" s="132">
        <v>0</v>
      </c>
      <c r="U165" s="132">
        <v>0</v>
      </c>
      <c r="V165" s="132"/>
      <c r="W165" s="132">
        <v>0</v>
      </c>
      <c r="X165" s="132">
        <v>0</v>
      </c>
      <c r="Y165" s="111">
        <v>99138</v>
      </c>
      <c r="Z165" s="133">
        <f t="shared" si="31"/>
        <v>99138</v>
      </c>
      <c r="AA165" s="133">
        <f t="shared" si="32"/>
        <v>0</v>
      </c>
      <c r="AB165" s="141"/>
      <c r="AC165" s="132" t="s">
        <v>602</v>
      </c>
      <c r="AD165" s="132" t="s">
        <v>602</v>
      </c>
      <c r="AE165" s="132" t="s">
        <v>602</v>
      </c>
      <c r="AF165" s="132" t="s">
        <v>602</v>
      </c>
      <c r="AG165" s="132" t="s">
        <v>602</v>
      </c>
      <c r="AH165" s="132"/>
      <c r="AI165" s="111">
        <v>0</v>
      </c>
      <c r="AJ165" s="134">
        <f t="shared" si="30"/>
        <v>0</v>
      </c>
      <c r="AK165" s="134">
        <f t="shared" si="25"/>
        <v>0</v>
      </c>
      <c r="AL165" s="142"/>
      <c r="AM165" s="132">
        <v>0</v>
      </c>
      <c r="AN165" s="132">
        <v>0</v>
      </c>
      <c r="AO165" s="132">
        <v>0</v>
      </c>
      <c r="AP165" s="132">
        <v>0</v>
      </c>
      <c r="AQ165" s="132">
        <v>0</v>
      </c>
      <c r="AR165" s="132">
        <v>0</v>
      </c>
      <c r="AS165" s="116">
        <v>0</v>
      </c>
      <c r="AT165" s="134">
        <f t="shared" si="29"/>
        <v>0</v>
      </c>
      <c r="AU165" s="134">
        <f t="shared" si="26"/>
        <v>0</v>
      </c>
      <c r="AV165" s="142"/>
      <c r="AW165" s="132" t="s">
        <v>602</v>
      </c>
      <c r="AX165" s="132" t="s">
        <v>602</v>
      </c>
      <c r="AY165" s="132" t="s">
        <v>602</v>
      </c>
      <c r="AZ165" s="132" t="s">
        <v>602</v>
      </c>
      <c r="BA165" s="132" t="s">
        <v>602</v>
      </c>
      <c r="BB165" s="116"/>
      <c r="BC165" s="113"/>
      <c r="BD165" s="116"/>
      <c r="BE165" s="113"/>
      <c r="BF165" s="116"/>
      <c r="BG165" s="116"/>
      <c r="BH165" s="137">
        <f t="shared" si="27"/>
        <v>99138</v>
      </c>
      <c r="BI165" s="138">
        <f t="shared" si="28"/>
        <v>0</v>
      </c>
      <c r="BJ165" s="126"/>
      <c r="BK165" s="91"/>
    </row>
    <row r="166" spans="1:63" ht="15.75">
      <c r="A166" s="123">
        <v>501342</v>
      </c>
      <c r="B166" s="126">
        <v>208618</v>
      </c>
      <c r="C166" s="124" t="s">
        <v>1066</v>
      </c>
      <c r="D166" s="124" t="s">
        <v>1067</v>
      </c>
      <c r="E166" s="125" t="s">
        <v>1064</v>
      </c>
      <c r="F166" s="124" t="s">
        <v>1065</v>
      </c>
      <c r="G166" s="127" t="s">
        <v>68</v>
      </c>
      <c r="H166" s="126" t="s">
        <v>628</v>
      </c>
      <c r="I166" s="126" t="s">
        <v>598</v>
      </c>
      <c r="J166" s="126" t="s">
        <v>672</v>
      </c>
      <c r="K166" s="128" t="s">
        <v>673</v>
      </c>
      <c r="L166" s="121" t="s">
        <v>515</v>
      </c>
      <c r="M166" s="123" t="s">
        <v>2070</v>
      </c>
      <c r="N166" s="129">
        <v>42614</v>
      </c>
      <c r="O166" s="129">
        <v>44286</v>
      </c>
      <c r="P166" s="129">
        <v>44286</v>
      </c>
      <c r="Q166" s="130">
        <v>326853</v>
      </c>
      <c r="R166" s="113"/>
      <c r="S166" s="132">
        <v>66124</v>
      </c>
      <c r="T166" s="132">
        <v>0</v>
      </c>
      <c r="U166" s="132">
        <v>35260</v>
      </c>
      <c r="V166" s="132"/>
      <c r="W166" s="132">
        <v>7567</v>
      </c>
      <c r="X166" s="132">
        <v>0</v>
      </c>
      <c r="Y166" s="111">
        <v>108951</v>
      </c>
      <c r="Z166" s="133">
        <f t="shared" si="31"/>
        <v>108951</v>
      </c>
      <c r="AA166" s="133">
        <f t="shared" si="32"/>
        <v>0</v>
      </c>
      <c r="AB166" s="141"/>
      <c r="AC166" s="132">
        <v>66124</v>
      </c>
      <c r="AD166" s="132">
        <v>0</v>
      </c>
      <c r="AE166" s="132">
        <v>35260</v>
      </c>
      <c r="AF166" s="132">
        <v>7567</v>
      </c>
      <c r="AG166" s="132">
        <v>0</v>
      </c>
      <c r="AH166" s="132"/>
      <c r="AI166" s="111">
        <v>108951</v>
      </c>
      <c r="AJ166" s="134">
        <f t="shared" si="30"/>
        <v>108951</v>
      </c>
      <c r="AK166" s="134">
        <f t="shared" si="25"/>
        <v>0</v>
      </c>
      <c r="AL166" s="142"/>
      <c r="AM166" s="135">
        <v>66124</v>
      </c>
      <c r="AN166" s="135">
        <v>0</v>
      </c>
      <c r="AO166" s="135">
        <v>35260</v>
      </c>
      <c r="AP166" s="135"/>
      <c r="AQ166" s="135">
        <v>7567</v>
      </c>
      <c r="AR166" s="135">
        <v>0</v>
      </c>
      <c r="AS166" s="116">
        <v>108951</v>
      </c>
      <c r="AT166" s="134">
        <f t="shared" si="29"/>
        <v>108951</v>
      </c>
      <c r="AU166" s="134">
        <f t="shared" si="26"/>
        <v>0</v>
      </c>
      <c r="AV166" s="142"/>
      <c r="AW166" s="135"/>
      <c r="AX166" s="135"/>
      <c r="AY166" s="135"/>
      <c r="AZ166" s="135"/>
      <c r="BA166" s="135"/>
      <c r="BB166" s="116"/>
      <c r="BC166" s="113"/>
      <c r="BD166" s="116"/>
      <c r="BE166" s="113"/>
      <c r="BF166" s="116"/>
      <c r="BG166" s="116"/>
      <c r="BH166" s="137">
        <f t="shared" si="27"/>
        <v>326853</v>
      </c>
      <c r="BI166" s="138">
        <f t="shared" si="28"/>
        <v>0</v>
      </c>
      <c r="BJ166" s="126"/>
      <c r="BK166" s="91"/>
    </row>
    <row r="167" spans="1:63" ht="15.75">
      <c r="A167" s="123">
        <v>502316</v>
      </c>
      <c r="B167" s="126">
        <v>208618</v>
      </c>
      <c r="C167" s="124" t="s">
        <v>1066</v>
      </c>
      <c r="D167" s="124" t="s">
        <v>1067</v>
      </c>
      <c r="E167" s="125" t="s">
        <v>1064</v>
      </c>
      <c r="F167" s="124" t="s">
        <v>1065</v>
      </c>
      <c r="G167" s="127" t="s">
        <v>68</v>
      </c>
      <c r="H167" s="126" t="s">
        <v>628</v>
      </c>
      <c r="I167" s="126" t="s">
        <v>598</v>
      </c>
      <c r="J167" s="126" t="s">
        <v>672</v>
      </c>
      <c r="K167" s="128" t="s">
        <v>673</v>
      </c>
      <c r="L167" s="121" t="s">
        <v>652</v>
      </c>
      <c r="M167" s="123" t="s">
        <v>1023</v>
      </c>
      <c r="N167" s="129">
        <v>42826</v>
      </c>
      <c r="O167" s="129">
        <v>43190</v>
      </c>
      <c r="P167" s="129">
        <v>43190</v>
      </c>
      <c r="Q167" s="130">
        <v>8200</v>
      </c>
      <c r="R167" s="113"/>
      <c r="S167" s="132">
        <v>0</v>
      </c>
      <c r="T167" s="132">
        <v>2400</v>
      </c>
      <c r="U167" s="132">
        <v>5800</v>
      </c>
      <c r="V167" s="132"/>
      <c r="W167" s="132">
        <v>0</v>
      </c>
      <c r="X167" s="132">
        <v>0</v>
      </c>
      <c r="Y167" s="111">
        <v>8200</v>
      </c>
      <c r="Z167" s="133">
        <f t="shared" si="31"/>
        <v>8200</v>
      </c>
      <c r="AA167" s="133">
        <f t="shared" si="32"/>
        <v>0</v>
      </c>
      <c r="AB167" s="141"/>
      <c r="AC167" s="132" t="s">
        <v>602</v>
      </c>
      <c r="AD167" s="132" t="s">
        <v>602</v>
      </c>
      <c r="AE167" s="132" t="s">
        <v>602</v>
      </c>
      <c r="AF167" s="132" t="s">
        <v>602</v>
      </c>
      <c r="AG167" s="132" t="s">
        <v>602</v>
      </c>
      <c r="AH167" s="132"/>
      <c r="AI167" s="111">
        <v>0</v>
      </c>
      <c r="AJ167" s="134">
        <f t="shared" si="30"/>
        <v>0</v>
      </c>
      <c r="AK167" s="134">
        <f t="shared" si="25"/>
        <v>0</v>
      </c>
      <c r="AL167" s="142"/>
      <c r="AM167" s="132">
        <v>0</v>
      </c>
      <c r="AN167" s="132">
        <v>0</v>
      </c>
      <c r="AO167" s="132">
        <v>0</v>
      </c>
      <c r="AP167" s="132">
        <v>0</v>
      </c>
      <c r="AQ167" s="132">
        <v>0</v>
      </c>
      <c r="AR167" s="132">
        <v>0</v>
      </c>
      <c r="AS167" s="116">
        <v>0</v>
      </c>
      <c r="AT167" s="134">
        <f t="shared" si="29"/>
        <v>0</v>
      </c>
      <c r="AU167" s="134">
        <f t="shared" si="26"/>
        <v>0</v>
      </c>
      <c r="AV167" s="142"/>
      <c r="AW167" s="135"/>
      <c r="AX167" s="135"/>
      <c r="AY167" s="135"/>
      <c r="AZ167" s="135"/>
      <c r="BA167" s="135"/>
      <c r="BB167" s="116"/>
      <c r="BC167" s="113"/>
      <c r="BD167" s="116"/>
      <c r="BE167" s="113"/>
      <c r="BF167" s="116"/>
      <c r="BG167" s="116"/>
      <c r="BH167" s="137">
        <f t="shared" si="27"/>
        <v>8200</v>
      </c>
      <c r="BI167" s="138">
        <f t="shared" si="28"/>
        <v>0</v>
      </c>
      <c r="BJ167" s="126" t="s">
        <v>1068</v>
      </c>
      <c r="BK167" s="91"/>
    </row>
    <row r="168" spans="1:63" ht="15.75">
      <c r="A168" s="123">
        <v>501348</v>
      </c>
      <c r="B168" s="126">
        <v>208620</v>
      </c>
      <c r="C168" s="121" t="s">
        <v>1071</v>
      </c>
      <c r="D168" s="121" t="s">
        <v>1072</v>
      </c>
      <c r="E168" s="125" t="s">
        <v>1069</v>
      </c>
      <c r="F168" s="124" t="s">
        <v>1070</v>
      </c>
      <c r="G168" s="127" t="s">
        <v>82</v>
      </c>
      <c r="H168" s="123" t="s">
        <v>628</v>
      </c>
      <c r="I168" s="126" t="s">
        <v>598</v>
      </c>
      <c r="J168" s="126" t="s">
        <v>888</v>
      </c>
      <c r="K168" s="128" t="s">
        <v>731</v>
      </c>
      <c r="L168" s="121" t="s">
        <v>515</v>
      </c>
      <c r="M168" s="143" t="s">
        <v>934</v>
      </c>
      <c r="N168" s="129">
        <v>42614</v>
      </c>
      <c r="O168" s="129">
        <v>44286</v>
      </c>
      <c r="P168" s="129">
        <v>44286</v>
      </c>
      <c r="Q168" s="144">
        <v>130500</v>
      </c>
      <c r="R168" s="150"/>
      <c r="S168" s="132">
        <v>21000</v>
      </c>
      <c r="T168" s="132">
        <v>0</v>
      </c>
      <c r="U168" s="132">
        <v>22500</v>
      </c>
      <c r="V168" s="132"/>
      <c r="W168" s="132">
        <v>0</v>
      </c>
      <c r="X168" s="132"/>
      <c r="Y168" s="111">
        <v>43500</v>
      </c>
      <c r="Z168" s="133">
        <f t="shared" si="31"/>
        <v>43500</v>
      </c>
      <c r="AA168" s="133">
        <f t="shared" si="32"/>
        <v>0</v>
      </c>
      <c r="AB168" s="141"/>
      <c r="AC168" s="132">
        <v>21000</v>
      </c>
      <c r="AD168" s="132">
        <v>0</v>
      </c>
      <c r="AE168" s="132">
        <v>22500</v>
      </c>
      <c r="AF168" s="132">
        <v>0</v>
      </c>
      <c r="AG168" s="132">
        <v>0</v>
      </c>
      <c r="AH168" s="132"/>
      <c r="AI168" s="111">
        <v>43500</v>
      </c>
      <c r="AJ168" s="134">
        <f t="shared" si="30"/>
        <v>43500</v>
      </c>
      <c r="AK168" s="134">
        <f t="shared" si="25"/>
        <v>0</v>
      </c>
      <c r="AL168" s="142"/>
      <c r="AM168" s="135">
        <v>21000</v>
      </c>
      <c r="AN168" s="135">
        <v>0</v>
      </c>
      <c r="AO168" s="135">
        <v>22500</v>
      </c>
      <c r="AP168" s="135"/>
      <c r="AQ168" s="135">
        <v>0</v>
      </c>
      <c r="AR168" s="135">
        <v>0</v>
      </c>
      <c r="AS168" s="116">
        <v>43500</v>
      </c>
      <c r="AT168" s="134">
        <f t="shared" si="29"/>
        <v>43500</v>
      </c>
      <c r="AU168" s="134">
        <f t="shared" si="26"/>
        <v>0</v>
      </c>
      <c r="AV168" s="142"/>
      <c r="AW168" s="135"/>
      <c r="AX168" s="135"/>
      <c r="AY168" s="135"/>
      <c r="AZ168" s="135"/>
      <c r="BA168" s="135"/>
      <c r="BB168" s="116"/>
      <c r="BC168" s="113"/>
      <c r="BD168" s="116"/>
      <c r="BE168" s="113"/>
      <c r="BF168" s="116"/>
      <c r="BG168" s="116"/>
      <c r="BH168" s="137">
        <f t="shared" si="27"/>
        <v>130500</v>
      </c>
      <c r="BI168" s="138">
        <f t="shared" si="28"/>
        <v>0</v>
      </c>
      <c r="BJ168" s="147"/>
      <c r="BK168" s="91"/>
    </row>
    <row r="169" spans="1:63" ht="15.75">
      <c r="A169" s="123">
        <v>502531</v>
      </c>
      <c r="B169" s="126">
        <v>208620</v>
      </c>
      <c r="C169" s="124" t="s">
        <v>1071</v>
      </c>
      <c r="D169" s="124" t="s">
        <v>1072</v>
      </c>
      <c r="E169" s="125" t="s">
        <v>1069</v>
      </c>
      <c r="F169" s="124" t="s">
        <v>1070</v>
      </c>
      <c r="G169" s="127" t="s">
        <v>82</v>
      </c>
      <c r="H169" s="126" t="s">
        <v>597</v>
      </c>
      <c r="I169" s="126" t="s">
        <v>598</v>
      </c>
      <c r="J169" s="126" t="s">
        <v>888</v>
      </c>
      <c r="K169" s="128" t="s">
        <v>731</v>
      </c>
      <c r="L169" s="121" t="s">
        <v>517</v>
      </c>
      <c r="M169" s="123" t="s">
        <v>1073</v>
      </c>
      <c r="N169" s="129">
        <v>42826</v>
      </c>
      <c r="O169" s="129">
        <v>43921</v>
      </c>
      <c r="P169" s="129">
        <v>43921</v>
      </c>
      <c r="Q169" s="130">
        <v>150000</v>
      </c>
      <c r="R169" s="113"/>
      <c r="S169" s="132">
        <v>50000</v>
      </c>
      <c r="T169" s="132">
        <v>0</v>
      </c>
      <c r="U169" s="132">
        <v>0</v>
      </c>
      <c r="V169" s="132"/>
      <c r="W169" s="132">
        <v>0</v>
      </c>
      <c r="X169" s="132">
        <v>0</v>
      </c>
      <c r="Y169" s="111">
        <v>50000</v>
      </c>
      <c r="Z169" s="133">
        <f t="shared" si="31"/>
        <v>50000</v>
      </c>
      <c r="AA169" s="133">
        <f t="shared" si="32"/>
        <v>0</v>
      </c>
      <c r="AB169" s="141"/>
      <c r="AC169" s="132">
        <v>50000</v>
      </c>
      <c r="AD169" s="132">
        <v>0</v>
      </c>
      <c r="AE169" s="132">
        <v>0</v>
      </c>
      <c r="AF169" s="132">
        <v>0</v>
      </c>
      <c r="AG169" s="132">
        <v>0</v>
      </c>
      <c r="AH169" s="132"/>
      <c r="AI169" s="111">
        <v>50000</v>
      </c>
      <c r="AJ169" s="134">
        <f t="shared" si="30"/>
        <v>50000</v>
      </c>
      <c r="AK169" s="134">
        <f t="shared" si="25"/>
        <v>0</v>
      </c>
      <c r="AL169" s="142"/>
      <c r="AM169" s="132">
        <v>50000</v>
      </c>
      <c r="AN169" s="132">
        <v>0</v>
      </c>
      <c r="AO169" s="132">
        <v>0</v>
      </c>
      <c r="AP169" s="132">
        <v>0</v>
      </c>
      <c r="AQ169" s="132">
        <v>0</v>
      </c>
      <c r="AR169" s="135">
        <v>0</v>
      </c>
      <c r="AS169" s="116">
        <v>50000</v>
      </c>
      <c r="AT169" s="134">
        <f t="shared" si="29"/>
        <v>50000</v>
      </c>
      <c r="AU169" s="134">
        <f t="shared" si="26"/>
        <v>0</v>
      </c>
      <c r="AV169" s="142"/>
      <c r="AW169" s="135" t="s">
        <v>602</v>
      </c>
      <c r="AX169" s="135" t="s">
        <v>602</v>
      </c>
      <c r="AY169" s="135" t="s">
        <v>602</v>
      </c>
      <c r="AZ169" s="135" t="s">
        <v>602</v>
      </c>
      <c r="BA169" s="135" t="s">
        <v>602</v>
      </c>
      <c r="BB169" s="116">
        <f>SUM(AU169:BA169)</f>
        <v>0</v>
      </c>
      <c r="BC169" s="113"/>
      <c r="BD169" s="116"/>
      <c r="BE169" s="113"/>
      <c r="BF169" s="116"/>
      <c r="BG169" s="116"/>
      <c r="BH169" s="137">
        <f t="shared" si="27"/>
        <v>150000</v>
      </c>
      <c r="BI169" s="138">
        <f t="shared" si="28"/>
        <v>0</v>
      </c>
      <c r="BJ169" s="126" t="s">
        <v>789</v>
      </c>
      <c r="BK169" s="91"/>
    </row>
    <row r="170" spans="1:63" ht="15.75">
      <c r="A170" s="180">
        <v>506450</v>
      </c>
      <c r="B170" s="126">
        <v>208620</v>
      </c>
      <c r="C170" s="124" t="s">
        <v>1071</v>
      </c>
      <c r="D170" s="124" t="s">
        <v>1072</v>
      </c>
      <c r="E170" s="125" t="s">
        <v>1069</v>
      </c>
      <c r="F170" s="124" t="s">
        <v>1070</v>
      </c>
      <c r="G170" s="127" t="s">
        <v>82</v>
      </c>
      <c r="H170" s="126" t="s">
        <v>597</v>
      </c>
      <c r="I170" s="126" t="s">
        <v>598</v>
      </c>
      <c r="J170" s="126" t="s">
        <v>888</v>
      </c>
      <c r="K170" s="128" t="s">
        <v>731</v>
      </c>
      <c r="L170" s="121" t="s">
        <v>517</v>
      </c>
      <c r="M170" s="123" t="s">
        <v>1074</v>
      </c>
      <c r="N170" s="129">
        <v>43556</v>
      </c>
      <c r="O170" s="129">
        <v>44651</v>
      </c>
      <c r="P170" s="129">
        <v>44651</v>
      </c>
      <c r="Q170" s="130">
        <f>50000*2</f>
        <v>100000</v>
      </c>
      <c r="R170" s="113"/>
      <c r="S170" s="132">
        <v>50000</v>
      </c>
      <c r="T170" s="132">
        <v>0</v>
      </c>
      <c r="U170" s="132">
        <v>0</v>
      </c>
      <c r="V170" s="132"/>
      <c r="W170" s="132">
        <v>0</v>
      </c>
      <c r="X170" s="132">
        <v>0</v>
      </c>
      <c r="Y170" s="111">
        <v>50000</v>
      </c>
      <c r="Z170" s="133">
        <f t="shared" si="31"/>
        <v>50000</v>
      </c>
      <c r="AA170" s="133">
        <f t="shared" si="32"/>
        <v>0</v>
      </c>
      <c r="AB170" s="141"/>
      <c r="AC170" s="132">
        <v>50000</v>
      </c>
      <c r="AD170" s="132"/>
      <c r="AE170" s="132"/>
      <c r="AF170" s="132"/>
      <c r="AG170" s="132"/>
      <c r="AH170" s="132"/>
      <c r="AI170" s="111">
        <v>50000</v>
      </c>
      <c r="AJ170" s="134">
        <f t="shared" si="30"/>
        <v>50000</v>
      </c>
      <c r="AK170" s="134">
        <f t="shared" si="25"/>
        <v>0</v>
      </c>
      <c r="AL170" s="142"/>
      <c r="AM170" s="135">
        <v>50000</v>
      </c>
      <c r="AN170" s="135"/>
      <c r="AO170" s="135"/>
      <c r="AP170" s="135"/>
      <c r="AQ170" s="135"/>
      <c r="AR170" s="135"/>
      <c r="AS170" s="116">
        <v>50000</v>
      </c>
      <c r="AT170" s="134">
        <f t="shared" ref="AT170:AT200" si="33">SUM(AL170:AR170)</f>
        <v>50000</v>
      </c>
      <c r="AU170" s="134">
        <f t="shared" si="26"/>
        <v>0</v>
      </c>
      <c r="AV170" s="142"/>
      <c r="AW170" s="135"/>
      <c r="AX170" s="135"/>
      <c r="AY170" s="135"/>
      <c r="AZ170" s="135"/>
      <c r="BA170" s="135"/>
      <c r="BB170" s="116"/>
      <c r="BC170" s="113"/>
      <c r="BD170" s="116"/>
      <c r="BE170" s="113"/>
      <c r="BF170" s="116"/>
      <c r="BG170" s="116"/>
      <c r="BH170" s="137">
        <f t="shared" si="27"/>
        <v>150000</v>
      </c>
      <c r="BI170" s="138">
        <f t="shared" si="28"/>
        <v>50000</v>
      </c>
      <c r="BJ170" s="126"/>
      <c r="BK170" s="91"/>
    </row>
    <row r="171" spans="1:63" ht="15.75">
      <c r="A171" s="123">
        <v>500786</v>
      </c>
      <c r="B171" s="126">
        <v>208625</v>
      </c>
      <c r="C171" s="121" t="s">
        <v>1076</v>
      </c>
      <c r="D171" s="121" t="s">
        <v>1077</v>
      </c>
      <c r="E171" s="125" t="s">
        <v>1075</v>
      </c>
      <c r="F171" s="124" t="s">
        <v>233</v>
      </c>
      <c r="G171" s="127" t="s">
        <v>53</v>
      </c>
      <c r="H171" s="123" t="s">
        <v>597</v>
      </c>
      <c r="I171" s="126" t="s">
        <v>598</v>
      </c>
      <c r="J171" s="126" t="s">
        <v>659</v>
      </c>
      <c r="K171" s="128" t="s">
        <v>660</v>
      </c>
      <c r="L171" s="121" t="s">
        <v>652</v>
      </c>
      <c r="M171" s="123" t="s">
        <v>638</v>
      </c>
      <c r="N171" s="129">
        <v>42339</v>
      </c>
      <c r="O171" s="129">
        <v>42580</v>
      </c>
      <c r="P171" s="129">
        <v>43921</v>
      </c>
      <c r="Q171" s="144">
        <v>25000</v>
      </c>
      <c r="R171" s="150"/>
      <c r="S171" s="132">
        <v>25000</v>
      </c>
      <c r="T171" s="132">
        <v>0</v>
      </c>
      <c r="U171" s="132">
        <v>0</v>
      </c>
      <c r="V171" s="132"/>
      <c r="W171" s="132">
        <v>0</v>
      </c>
      <c r="X171" s="132">
        <v>0</v>
      </c>
      <c r="Y171" s="111">
        <v>25000</v>
      </c>
      <c r="Z171" s="133">
        <f t="shared" si="31"/>
        <v>25000</v>
      </c>
      <c r="AA171" s="133">
        <f t="shared" si="32"/>
        <v>0</v>
      </c>
      <c r="AB171" s="141"/>
      <c r="AC171" s="132" t="s">
        <v>602</v>
      </c>
      <c r="AD171" s="132" t="s">
        <v>602</v>
      </c>
      <c r="AE171" s="132" t="s">
        <v>602</v>
      </c>
      <c r="AF171" s="132" t="s">
        <v>602</v>
      </c>
      <c r="AG171" s="132" t="s">
        <v>602</v>
      </c>
      <c r="AH171" s="132"/>
      <c r="AI171" s="111">
        <v>0</v>
      </c>
      <c r="AJ171" s="134">
        <f t="shared" si="30"/>
        <v>0</v>
      </c>
      <c r="AK171" s="134">
        <f t="shared" si="25"/>
        <v>0</v>
      </c>
      <c r="AL171" s="142"/>
      <c r="AM171" s="132">
        <v>0</v>
      </c>
      <c r="AN171" s="132">
        <v>0</v>
      </c>
      <c r="AO171" s="132">
        <v>0</v>
      </c>
      <c r="AP171" s="132">
        <v>0</v>
      </c>
      <c r="AQ171" s="132">
        <v>0</v>
      </c>
      <c r="AR171" s="132">
        <v>0</v>
      </c>
      <c r="AS171" s="116">
        <v>0</v>
      </c>
      <c r="AT171" s="134">
        <f t="shared" si="33"/>
        <v>0</v>
      </c>
      <c r="AU171" s="134">
        <f t="shared" si="26"/>
        <v>0</v>
      </c>
      <c r="AV171" s="142"/>
      <c r="AW171" s="135"/>
      <c r="AX171" s="135"/>
      <c r="AY171" s="135"/>
      <c r="AZ171" s="135"/>
      <c r="BA171" s="135"/>
      <c r="BB171" s="116"/>
      <c r="BC171" s="113"/>
      <c r="BD171" s="116"/>
      <c r="BE171" s="113"/>
      <c r="BF171" s="116"/>
      <c r="BG171" s="116"/>
      <c r="BH171" s="137">
        <f t="shared" si="27"/>
        <v>25000</v>
      </c>
      <c r="BI171" s="138">
        <f t="shared" si="28"/>
        <v>0</v>
      </c>
      <c r="BJ171" s="126" t="s">
        <v>766</v>
      </c>
      <c r="BK171" s="91"/>
    </row>
    <row r="172" spans="1:63" ht="15.75">
      <c r="A172" s="123">
        <v>502320</v>
      </c>
      <c r="B172" s="126">
        <v>208625</v>
      </c>
      <c r="C172" s="121" t="s">
        <v>1076</v>
      </c>
      <c r="D172" s="121" t="s">
        <v>1077</v>
      </c>
      <c r="E172" s="125" t="s">
        <v>1075</v>
      </c>
      <c r="F172" s="124" t="s">
        <v>233</v>
      </c>
      <c r="G172" s="127" t="s">
        <v>53</v>
      </c>
      <c r="H172" s="123" t="s">
        <v>597</v>
      </c>
      <c r="I172" s="126" t="s">
        <v>598</v>
      </c>
      <c r="J172" s="126" t="s">
        <v>659</v>
      </c>
      <c r="K172" s="128" t="s">
        <v>660</v>
      </c>
      <c r="L172" s="121" t="s">
        <v>1034</v>
      </c>
      <c r="M172" s="123" t="s">
        <v>1078</v>
      </c>
      <c r="N172" s="129">
        <v>42826</v>
      </c>
      <c r="O172" s="129">
        <v>43251</v>
      </c>
      <c r="P172" s="129">
        <v>43251</v>
      </c>
      <c r="Q172" s="144">
        <f>50000-20833.33</f>
        <v>29166.67</v>
      </c>
      <c r="R172" s="150"/>
      <c r="S172" s="132">
        <v>25000</v>
      </c>
      <c r="T172" s="132">
        <v>0</v>
      </c>
      <c r="U172" s="132">
        <v>0</v>
      </c>
      <c r="V172" s="132"/>
      <c r="W172" s="132">
        <v>0</v>
      </c>
      <c r="X172" s="132">
        <v>0</v>
      </c>
      <c r="Y172" s="111">
        <v>25000</v>
      </c>
      <c r="Z172" s="133">
        <f t="shared" si="31"/>
        <v>25000</v>
      </c>
      <c r="AA172" s="133">
        <f t="shared" si="32"/>
        <v>0</v>
      </c>
      <c r="AB172" s="141"/>
      <c r="AC172" s="132">
        <v>4166.67</v>
      </c>
      <c r="AD172" s="132">
        <v>0</v>
      </c>
      <c r="AE172" s="132">
        <v>0</v>
      </c>
      <c r="AF172" s="132">
        <v>0</v>
      </c>
      <c r="AG172" s="132">
        <v>0</v>
      </c>
      <c r="AH172" s="132"/>
      <c r="AI172" s="111">
        <v>4166.6699999999983</v>
      </c>
      <c r="AJ172" s="134">
        <f t="shared" si="30"/>
        <v>4166.67</v>
      </c>
      <c r="AK172" s="134">
        <f t="shared" si="25"/>
        <v>0</v>
      </c>
      <c r="AL172" s="142"/>
      <c r="AM172" s="132">
        <v>0</v>
      </c>
      <c r="AN172" s="132">
        <v>0</v>
      </c>
      <c r="AO172" s="132">
        <v>0</v>
      </c>
      <c r="AP172" s="132">
        <v>0</v>
      </c>
      <c r="AQ172" s="132">
        <v>0</v>
      </c>
      <c r="AR172" s="132">
        <v>0</v>
      </c>
      <c r="AS172" s="116">
        <v>0</v>
      </c>
      <c r="AT172" s="134">
        <f t="shared" si="33"/>
        <v>0</v>
      </c>
      <c r="AU172" s="134">
        <f t="shared" si="26"/>
        <v>0</v>
      </c>
      <c r="AV172" s="142"/>
      <c r="AW172" s="135" t="s">
        <v>602</v>
      </c>
      <c r="AX172" s="135" t="s">
        <v>602</v>
      </c>
      <c r="AY172" s="135" t="s">
        <v>602</v>
      </c>
      <c r="AZ172" s="135" t="s">
        <v>602</v>
      </c>
      <c r="BA172" s="135" t="s">
        <v>602</v>
      </c>
      <c r="BB172" s="116"/>
      <c r="BC172" s="113"/>
      <c r="BD172" s="116"/>
      <c r="BE172" s="113"/>
      <c r="BF172" s="116"/>
      <c r="BG172" s="116"/>
      <c r="BH172" s="137">
        <f t="shared" si="27"/>
        <v>29166.67</v>
      </c>
      <c r="BI172" s="138">
        <f t="shared" si="28"/>
        <v>0</v>
      </c>
      <c r="BJ172" s="147" t="s">
        <v>1079</v>
      </c>
      <c r="BK172" s="91"/>
    </row>
    <row r="173" spans="1:63" ht="15.75">
      <c r="A173" s="123">
        <v>507637</v>
      </c>
      <c r="B173" s="126">
        <v>208625</v>
      </c>
      <c r="C173" s="124" t="s">
        <v>1076</v>
      </c>
      <c r="D173" s="124" t="s">
        <v>1077</v>
      </c>
      <c r="E173" s="125" t="s">
        <v>1075</v>
      </c>
      <c r="F173" s="124" t="s">
        <v>233</v>
      </c>
      <c r="G173" s="127" t="s">
        <v>53</v>
      </c>
      <c r="H173" s="126" t="s">
        <v>628</v>
      </c>
      <c r="I173" s="126" t="s">
        <v>598</v>
      </c>
      <c r="J173" s="126" t="s">
        <v>659</v>
      </c>
      <c r="K173" s="128" t="s">
        <v>660</v>
      </c>
      <c r="L173" s="121" t="s">
        <v>519</v>
      </c>
      <c r="M173" s="123" t="s">
        <v>736</v>
      </c>
      <c r="N173" s="129">
        <v>43709</v>
      </c>
      <c r="O173" s="129">
        <v>44530</v>
      </c>
      <c r="P173" s="129">
        <v>44530</v>
      </c>
      <c r="Q173" s="130">
        <f>63750+63750</f>
        <v>127500</v>
      </c>
      <c r="R173" s="113"/>
      <c r="S173" s="132">
        <v>25005</v>
      </c>
      <c r="T173" s="132"/>
      <c r="U173" s="132">
        <v>38745</v>
      </c>
      <c r="V173" s="132"/>
      <c r="W173" s="132"/>
      <c r="X173" s="132"/>
      <c r="Y173" s="111">
        <v>63750</v>
      </c>
      <c r="Z173" s="133">
        <f t="shared" si="31"/>
        <v>63750</v>
      </c>
      <c r="AA173" s="133">
        <f t="shared" si="32"/>
        <v>0</v>
      </c>
      <c r="AB173" s="141"/>
      <c r="AC173" s="132">
        <v>39285</v>
      </c>
      <c r="AD173" s="132">
        <v>0</v>
      </c>
      <c r="AE173" s="132">
        <v>24465</v>
      </c>
      <c r="AF173" s="132"/>
      <c r="AG173" s="132"/>
      <c r="AH173" s="132"/>
      <c r="AI173" s="111">
        <v>63750</v>
      </c>
      <c r="AJ173" s="134">
        <f t="shared" si="30"/>
        <v>63750</v>
      </c>
      <c r="AK173" s="134">
        <f t="shared" si="25"/>
        <v>0</v>
      </c>
      <c r="AL173" s="142"/>
      <c r="AM173" s="132">
        <v>39285</v>
      </c>
      <c r="AN173" s="132">
        <v>0</v>
      </c>
      <c r="AO173" s="132">
        <v>24465</v>
      </c>
      <c r="AP173" s="135"/>
      <c r="AQ173" s="135"/>
      <c r="AR173" s="135"/>
      <c r="AS173" s="116">
        <f>SUM(AM173:AR173)</f>
        <v>63750</v>
      </c>
      <c r="AT173" s="134">
        <f t="shared" si="33"/>
        <v>63750</v>
      </c>
      <c r="AU173" s="134">
        <f t="shared" si="26"/>
        <v>0</v>
      </c>
      <c r="AV173" s="142"/>
      <c r="AW173" s="135"/>
      <c r="AX173" s="135"/>
      <c r="AY173" s="135"/>
      <c r="AZ173" s="135"/>
      <c r="BA173" s="135"/>
      <c r="BB173" s="116"/>
      <c r="BC173" s="113"/>
      <c r="BD173" s="116"/>
      <c r="BE173" s="113"/>
      <c r="BF173" s="116"/>
      <c r="BG173" s="116"/>
      <c r="BH173" s="137">
        <f t="shared" si="27"/>
        <v>191250</v>
      </c>
      <c r="BI173" s="138">
        <f t="shared" si="28"/>
        <v>63750</v>
      </c>
      <c r="BJ173" s="126"/>
      <c r="BK173" s="91"/>
    </row>
    <row r="174" spans="1:63" ht="15.75">
      <c r="A174" s="123">
        <v>507776</v>
      </c>
      <c r="B174" s="126">
        <v>208625</v>
      </c>
      <c r="C174" s="124" t="s">
        <v>1076</v>
      </c>
      <c r="D174" s="124" t="s">
        <v>1077</v>
      </c>
      <c r="E174" s="124" t="s">
        <v>1075</v>
      </c>
      <c r="F174" s="124" t="s">
        <v>233</v>
      </c>
      <c r="G174" s="127" t="s">
        <v>53</v>
      </c>
      <c r="H174" s="126" t="s">
        <v>628</v>
      </c>
      <c r="I174" s="126" t="s">
        <v>598</v>
      </c>
      <c r="J174" s="126" t="s">
        <v>659</v>
      </c>
      <c r="K174" s="128" t="s">
        <v>660</v>
      </c>
      <c r="L174" s="121" t="s">
        <v>519</v>
      </c>
      <c r="M174" s="123" t="s">
        <v>1080</v>
      </c>
      <c r="N174" s="129">
        <v>43709</v>
      </c>
      <c r="O174" s="129">
        <v>44530</v>
      </c>
      <c r="P174" s="129">
        <v>44530</v>
      </c>
      <c r="Q174" s="130">
        <f>26667+56666+83333</f>
        <v>166666</v>
      </c>
      <c r="R174" s="113"/>
      <c r="S174" s="132">
        <v>43801</v>
      </c>
      <c r="T174" s="132"/>
      <c r="U174" s="132">
        <v>39532</v>
      </c>
      <c r="V174" s="132">
        <v>0</v>
      </c>
      <c r="W174" s="132">
        <v>0</v>
      </c>
      <c r="X174" s="132">
        <v>0</v>
      </c>
      <c r="Y174" s="111">
        <v>83333</v>
      </c>
      <c r="Z174" s="133">
        <f t="shared" si="31"/>
        <v>83333</v>
      </c>
      <c r="AA174" s="133">
        <f t="shared" si="32"/>
        <v>0</v>
      </c>
      <c r="AB174" s="141"/>
      <c r="AC174" s="132">
        <v>43801</v>
      </c>
      <c r="AD174" s="132"/>
      <c r="AE174" s="132">
        <v>39532</v>
      </c>
      <c r="AF174" s="132">
        <v>0</v>
      </c>
      <c r="AG174" s="132">
        <v>0</v>
      </c>
      <c r="AH174" s="132">
        <v>0</v>
      </c>
      <c r="AI174" s="111">
        <v>83333</v>
      </c>
      <c r="AJ174" s="134">
        <f t="shared" si="30"/>
        <v>83333</v>
      </c>
      <c r="AK174" s="134">
        <f t="shared" si="25"/>
        <v>0</v>
      </c>
      <c r="AL174" s="142"/>
      <c r="AM174" s="132">
        <v>43802</v>
      </c>
      <c r="AN174" s="132"/>
      <c r="AO174" s="132">
        <v>39532</v>
      </c>
      <c r="AP174" s="132">
        <v>0</v>
      </c>
      <c r="AQ174" s="132">
        <v>0</v>
      </c>
      <c r="AR174" s="132">
        <v>0</v>
      </c>
      <c r="AS174" s="116">
        <f>SUM(AM174:AR174)</f>
        <v>83334</v>
      </c>
      <c r="AT174" s="134">
        <f t="shared" si="33"/>
        <v>83334</v>
      </c>
      <c r="AU174" s="134">
        <f t="shared" si="26"/>
        <v>0</v>
      </c>
      <c r="AV174" s="142"/>
      <c r="AW174" s="135"/>
      <c r="AX174" s="135"/>
      <c r="AY174" s="135"/>
      <c r="AZ174" s="135"/>
      <c r="BA174" s="135"/>
      <c r="BB174" s="116"/>
      <c r="BC174" s="113"/>
      <c r="BD174" s="116"/>
      <c r="BE174" s="113"/>
      <c r="BF174" s="116"/>
      <c r="BG174" s="116"/>
      <c r="BH174" s="137">
        <f t="shared" si="27"/>
        <v>250000</v>
      </c>
      <c r="BI174" s="138">
        <f t="shared" si="28"/>
        <v>83334</v>
      </c>
      <c r="BJ174" s="126"/>
      <c r="BK174" s="91"/>
    </row>
    <row r="175" spans="1:63" ht="15.75">
      <c r="A175" s="123">
        <v>502687</v>
      </c>
      <c r="B175" s="126">
        <v>208628</v>
      </c>
      <c r="C175" s="124" t="s">
        <v>1082</v>
      </c>
      <c r="D175" s="124" t="s">
        <v>1083</v>
      </c>
      <c r="E175" s="125" t="s">
        <v>1081</v>
      </c>
      <c r="F175" s="123" t="s">
        <v>139</v>
      </c>
      <c r="G175" s="127" t="s">
        <v>46</v>
      </c>
      <c r="H175" s="126" t="s">
        <v>628</v>
      </c>
      <c r="I175" s="126" t="s">
        <v>598</v>
      </c>
      <c r="J175" s="126" t="s">
        <v>730</v>
      </c>
      <c r="K175" s="128" t="s">
        <v>630</v>
      </c>
      <c r="L175" s="121" t="s">
        <v>19</v>
      </c>
      <c r="M175" s="123" t="s">
        <v>1084</v>
      </c>
      <c r="N175" s="129">
        <v>42826</v>
      </c>
      <c r="O175" s="129">
        <v>43830</v>
      </c>
      <c r="P175" s="129">
        <v>44106</v>
      </c>
      <c r="Q175" s="130">
        <v>24750</v>
      </c>
      <c r="R175" s="113"/>
      <c r="S175" s="132">
        <v>0</v>
      </c>
      <c r="T175" s="132">
        <v>0</v>
      </c>
      <c r="U175" s="132">
        <v>0</v>
      </c>
      <c r="V175" s="132">
        <v>0</v>
      </c>
      <c r="W175" s="132">
        <v>0</v>
      </c>
      <c r="X175" s="132">
        <v>0</v>
      </c>
      <c r="Y175" s="111">
        <f>SUM(S175:X175)</f>
        <v>0</v>
      </c>
      <c r="Z175" s="133">
        <f t="shared" si="31"/>
        <v>0</v>
      </c>
      <c r="AA175" s="133">
        <f t="shared" si="32"/>
        <v>0</v>
      </c>
      <c r="AB175" s="141"/>
      <c r="AC175" s="132">
        <v>0</v>
      </c>
      <c r="AD175" s="132">
        <v>0</v>
      </c>
      <c r="AE175" s="132">
        <v>0</v>
      </c>
      <c r="AF175" s="132">
        <v>0</v>
      </c>
      <c r="AG175" s="132">
        <v>24750</v>
      </c>
      <c r="AH175" s="132"/>
      <c r="AI175" s="111">
        <v>24750</v>
      </c>
      <c r="AJ175" s="134">
        <f t="shared" si="30"/>
        <v>24750</v>
      </c>
      <c r="AK175" s="134">
        <f t="shared" si="25"/>
        <v>0</v>
      </c>
      <c r="AL175" s="145"/>
      <c r="AM175" s="132">
        <v>0</v>
      </c>
      <c r="AN175" s="132">
        <v>0</v>
      </c>
      <c r="AO175" s="132">
        <v>0</v>
      </c>
      <c r="AP175" s="132">
        <v>0</v>
      </c>
      <c r="AQ175" s="132">
        <v>0</v>
      </c>
      <c r="AR175" s="132">
        <v>0</v>
      </c>
      <c r="AS175" s="116">
        <v>0</v>
      </c>
      <c r="AT175" s="134">
        <f t="shared" si="33"/>
        <v>0</v>
      </c>
      <c r="AU175" s="134">
        <f t="shared" si="26"/>
        <v>0</v>
      </c>
      <c r="AV175" s="142"/>
      <c r="AW175" s="135"/>
      <c r="AX175" s="135"/>
      <c r="AY175" s="135"/>
      <c r="AZ175" s="135"/>
      <c r="BA175" s="135"/>
      <c r="BB175" s="116"/>
      <c r="BC175" s="113"/>
      <c r="BD175" s="116"/>
      <c r="BE175" s="113"/>
      <c r="BF175" s="116"/>
      <c r="BG175" s="116"/>
      <c r="BH175" s="137">
        <f t="shared" si="27"/>
        <v>24750</v>
      </c>
      <c r="BI175" s="138">
        <f t="shared" si="28"/>
        <v>0</v>
      </c>
      <c r="BJ175" s="126" t="s">
        <v>1085</v>
      </c>
      <c r="BK175" s="91"/>
    </row>
    <row r="176" spans="1:63" ht="15.75">
      <c r="A176" s="123">
        <v>507776</v>
      </c>
      <c r="B176" s="126">
        <v>208628</v>
      </c>
      <c r="C176" s="124" t="s">
        <v>1082</v>
      </c>
      <c r="D176" s="124" t="s">
        <v>1083</v>
      </c>
      <c r="E176" s="124" t="s">
        <v>1081</v>
      </c>
      <c r="F176" s="123" t="s">
        <v>139</v>
      </c>
      <c r="G176" s="127" t="s">
        <v>53</v>
      </c>
      <c r="H176" s="126" t="s">
        <v>628</v>
      </c>
      <c r="I176" s="126" t="s">
        <v>598</v>
      </c>
      <c r="J176" s="126" t="s">
        <v>650</v>
      </c>
      <c r="K176" s="128" t="s">
        <v>630</v>
      </c>
      <c r="L176" s="121" t="s">
        <v>519</v>
      </c>
      <c r="M176" s="123" t="s">
        <v>1080</v>
      </c>
      <c r="N176" s="129">
        <v>43709</v>
      </c>
      <c r="O176" s="129">
        <v>44530</v>
      </c>
      <c r="P176" s="129">
        <v>44530</v>
      </c>
      <c r="Q176" s="130">
        <f>26666+56668+83334</f>
        <v>166668</v>
      </c>
      <c r="R176" s="113"/>
      <c r="S176" s="132">
        <v>0</v>
      </c>
      <c r="T176" s="132">
        <v>0</v>
      </c>
      <c r="U176" s="132">
        <v>30834</v>
      </c>
      <c r="V176" s="132" t="s">
        <v>1086</v>
      </c>
      <c r="W176" s="132">
        <v>52500</v>
      </c>
      <c r="X176" s="132" t="s">
        <v>1086</v>
      </c>
      <c r="Y176" s="111">
        <v>83334</v>
      </c>
      <c r="Z176" s="133">
        <f t="shared" si="31"/>
        <v>83334</v>
      </c>
      <c r="AA176" s="133">
        <f t="shared" si="32"/>
        <v>0</v>
      </c>
      <c r="AB176" s="141"/>
      <c r="AC176" s="132">
        <v>15000</v>
      </c>
      <c r="AD176" s="132">
        <v>0</v>
      </c>
      <c r="AE176" s="132">
        <v>10834</v>
      </c>
      <c r="AF176" s="132">
        <v>0</v>
      </c>
      <c r="AG176" s="132">
        <v>57500</v>
      </c>
      <c r="AH176" s="132">
        <v>0</v>
      </c>
      <c r="AI176" s="111">
        <v>83334</v>
      </c>
      <c r="AJ176" s="134">
        <f t="shared" si="30"/>
        <v>83334</v>
      </c>
      <c r="AK176" s="134">
        <f t="shared" si="25"/>
        <v>0</v>
      </c>
      <c r="AL176" s="142"/>
      <c r="AM176" s="135">
        <v>65000</v>
      </c>
      <c r="AN176" s="135">
        <v>0</v>
      </c>
      <c r="AO176" s="135">
        <v>18332</v>
      </c>
      <c r="AP176" s="135">
        <v>0</v>
      </c>
      <c r="AQ176" s="135">
        <v>0</v>
      </c>
      <c r="AR176" s="135"/>
      <c r="AS176" s="116">
        <f>SUM(AM176:AR176)</f>
        <v>83332</v>
      </c>
      <c r="AT176" s="134">
        <f t="shared" si="33"/>
        <v>83332</v>
      </c>
      <c r="AU176" s="134">
        <f t="shared" si="26"/>
        <v>0</v>
      </c>
      <c r="AV176" s="142"/>
      <c r="AW176" s="135"/>
      <c r="AX176" s="135"/>
      <c r="AY176" s="135"/>
      <c r="AZ176" s="135"/>
      <c r="BA176" s="135"/>
      <c r="BB176" s="116"/>
      <c r="BC176" s="113"/>
      <c r="BD176" s="116"/>
      <c r="BE176" s="113"/>
      <c r="BF176" s="116"/>
      <c r="BG176" s="116"/>
      <c r="BH176" s="137">
        <f t="shared" si="27"/>
        <v>250000</v>
      </c>
      <c r="BI176" s="138">
        <f t="shared" si="28"/>
        <v>83332</v>
      </c>
      <c r="BJ176" s="126"/>
      <c r="BK176" s="91"/>
    </row>
    <row r="177" spans="1:63" ht="15.75">
      <c r="A177" s="123">
        <v>500971</v>
      </c>
      <c r="B177" s="126">
        <v>208630</v>
      </c>
      <c r="C177" s="148" t="s">
        <v>1088</v>
      </c>
      <c r="D177" s="148" t="s">
        <v>1089</v>
      </c>
      <c r="E177" s="125" t="s">
        <v>1087</v>
      </c>
      <c r="F177" s="124" t="s">
        <v>328</v>
      </c>
      <c r="G177" s="127" t="s">
        <v>53</v>
      </c>
      <c r="H177" s="149" t="s">
        <v>597</v>
      </c>
      <c r="I177" s="126" t="s">
        <v>598</v>
      </c>
      <c r="J177" s="126" t="s">
        <v>635</v>
      </c>
      <c r="K177" s="128" t="s">
        <v>911</v>
      </c>
      <c r="L177" s="121" t="s">
        <v>637</v>
      </c>
      <c r="M177" s="123" t="s">
        <v>638</v>
      </c>
      <c r="N177" s="129">
        <v>42248</v>
      </c>
      <c r="O177" s="129">
        <v>42643</v>
      </c>
      <c r="P177" s="129">
        <v>42643</v>
      </c>
      <c r="Q177" s="144">
        <v>41667</v>
      </c>
      <c r="R177" s="132">
        <v>41667</v>
      </c>
      <c r="S177" s="132"/>
      <c r="T177" s="132">
        <v>0</v>
      </c>
      <c r="U177" s="132">
        <v>0</v>
      </c>
      <c r="V177" s="132"/>
      <c r="W177" s="132">
        <v>0</v>
      </c>
      <c r="X177" s="132">
        <v>0</v>
      </c>
      <c r="Y177" s="111">
        <v>41667</v>
      </c>
      <c r="Z177" s="133">
        <f t="shared" si="31"/>
        <v>41667</v>
      </c>
      <c r="AA177" s="133">
        <f t="shared" si="32"/>
        <v>0</v>
      </c>
      <c r="AB177" s="141"/>
      <c r="AC177" s="132" t="s">
        <v>602</v>
      </c>
      <c r="AD177" s="132" t="s">
        <v>602</v>
      </c>
      <c r="AE177" s="132" t="s">
        <v>602</v>
      </c>
      <c r="AF177" s="132" t="s">
        <v>602</v>
      </c>
      <c r="AG177" s="132" t="s">
        <v>602</v>
      </c>
      <c r="AH177" s="132"/>
      <c r="AI177" s="111">
        <v>0</v>
      </c>
      <c r="AJ177" s="134">
        <f t="shared" si="30"/>
        <v>0</v>
      </c>
      <c r="AK177" s="134">
        <f t="shared" si="25"/>
        <v>0</v>
      </c>
      <c r="AL177" s="142"/>
      <c r="AM177" s="132">
        <v>0</v>
      </c>
      <c r="AN177" s="132">
        <v>0</v>
      </c>
      <c r="AO177" s="132">
        <v>0</v>
      </c>
      <c r="AP177" s="132">
        <v>0</v>
      </c>
      <c r="AQ177" s="132">
        <v>0</v>
      </c>
      <c r="AR177" s="132">
        <v>0</v>
      </c>
      <c r="AS177" s="116">
        <v>0</v>
      </c>
      <c r="AT177" s="134">
        <f t="shared" si="33"/>
        <v>0</v>
      </c>
      <c r="AU177" s="134">
        <f t="shared" si="26"/>
        <v>0</v>
      </c>
      <c r="AV177" s="142"/>
      <c r="AW177" s="132" t="s">
        <v>602</v>
      </c>
      <c r="AX177" s="132" t="s">
        <v>602</v>
      </c>
      <c r="AY177" s="132" t="s">
        <v>602</v>
      </c>
      <c r="AZ177" s="132" t="s">
        <v>602</v>
      </c>
      <c r="BA177" s="132" t="s">
        <v>602</v>
      </c>
      <c r="BB177" s="116"/>
      <c r="BC177" s="113"/>
      <c r="BD177" s="116"/>
      <c r="BE177" s="113"/>
      <c r="BF177" s="116"/>
      <c r="BG177" s="116"/>
      <c r="BH177" s="137">
        <f t="shared" si="27"/>
        <v>41667</v>
      </c>
      <c r="BI177" s="138">
        <f t="shared" si="28"/>
        <v>0</v>
      </c>
      <c r="BJ177" s="147"/>
      <c r="BK177" s="91"/>
    </row>
    <row r="178" spans="1:63" ht="15.75">
      <c r="A178" s="123">
        <v>501349</v>
      </c>
      <c r="B178" s="126">
        <v>208630</v>
      </c>
      <c r="C178" s="148" t="s">
        <v>1088</v>
      </c>
      <c r="D178" s="148" t="s">
        <v>1089</v>
      </c>
      <c r="E178" s="125" t="s">
        <v>1087</v>
      </c>
      <c r="F178" s="124" t="s">
        <v>328</v>
      </c>
      <c r="G178" s="127" t="s">
        <v>53</v>
      </c>
      <c r="H178" s="149" t="s">
        <v>628</v>
      </c>
      <c r="I178" s="126" t="s">
        <v>598</v>
      </c>
      <c r="J178" s="126" t="s">
        <v>635</v>
      </c>
      <c r="K178" s="128" t="s">
        <v>636</v>
      </c>
      <c r="L178" s="121" t="s">
        <v>515</v>
      </c>
      <c r="M178" s="123" t="s">
        <v>640</v>
      </c>
      <c r="N178" s="129">
        <v>42614</v>
      </c>
      <c r="O178" s="129">
        <v>43708</v>
      </c>
      <c r="P178" s="129">
        <v>43708</v>
      </c>
      <c r="Q178" s="144">
        <v>300000</v>
      </c>
      <c r="R178" s="150"/>
      <c r="S178" s="132">
        <v>58000</v>
      </c>
      <c r="T178" s="132">
        <v>0</v>
      </c>
      <c r="U178" s="132">
        <v>32000</v>
      </c>
      <c r="V178" s="132"/>
      <c r="W178" s="132">
        <v>10000</v>
      </c>
      <c r="X178" s="132">
        <v>0</v>
      </c>
      <c r="Y178" s="111">
        <v>100000</v>
      </c>
      <c r="Z178" s="133">
        <f t="shared" si="31"/>
        <v>100000</v>
      </c>
      <c r="AA178" s="133">
        <f t="shared" si="32"/>
        <v>0</v>
      </c>
      <c r="AB178" s="141"/>
      <c r="AC178" s="132">
        <v>58000</v>
      </c>
      <c r="AD178" s="132">
        <v>0</v>
      </c>
      <c r="AE178" s="132">
        <v>32000</v>
      </c>
      <c r="AF178" s="132">
        <v>10000</v>
      </c>
      <c r="AG178" s="132">
        <v>0</v>
      </c>
      <c r="AH178" s="132"/>
      <c r="AI178" s="111">
        <v>100000</v>
      </c>
      <c r="AJ178" s="134">
        <f t="shared" si="30"/>
        <v>100000</v>
      </c>
      <c r="AK178" s="134">
        <f t="shared" si="25"/>
        <v>0</v>
      </c>
      <c r="AL178" s="142"/>
      <c r="AM178" s="135">
        <v>58000</v>
      </c>
      <c r="AN178" s="135">
        <v>0</v>
      </c>
      <c r="AO178" s="135">
        <v>32000</v>
      </c>
      <c r="AP178" s="135"/>
      <c r="AQ178" s="135">
        <v>10000</v>
      </c>
      <c r="AR178" s="135">
        <v>0</v>
      </c>
      <c r="AS178" s="116">
        <v>100000</v>
      </c>
      <c r="AT178" s="134">
        <f t="shared" si="33"/>
        <v>100000</v>
      </c>
      <c r="AU178" s="134">
        <f t="shared" si="26"/>
        <v>0</v>
      </c>
      <c r="AV178" s="142"/>
      <c r="AW178" s="135"/>
      <c r="AX178" s="135"/>
      <c r="AY178" s="135"/>
      <c r="AZ178" s="135"/>
      <c r="BA178" s="135"/>
      <c r="BB178" s="116"/>
      <c r="BC178" s="113"/>
      <c r="BD178" s="116"/>
      <c r="BE178" s="113"/>
      <c r="BF178" s="116"/>
      <c r="BG178" s="116"/>
      <c r="BH178" s="137">
        <f t="shared" si="27"/>
        <v>300000</v>
      </c>
      <c r="BI178" s="138">
        <f t="shared" si="28"/>
        <v>0</v>
      </c>
      <c r="BJ178" s="147"/>
      <c r="BK178" s="91"/>
    </row>
    <row r="179" spans="1:63" ht="15.75">
      <c r="A179" s="123">
        <v>507779</v>
      </c>
      <c r="B179" s="126">
        <v>208630</v>
      </c>
      <c r="C179" s="148" t="s">
        <v>1088</v>
      </c>
      <c r="D179" s="148" t="s">
        <v>1089</v>
      </c>
      <c r="E179" s="125" t="s">
        <v>1087</v>
      </c>
      <c r="F179" s="124" t="s">
        <v>328</v>
      </c>
      <c r="G179" s="127" t="s">
        <v>53</v>
      </c>
      <c r="H179" s="149" t="s">
        <v>628</v>
      </c>
      <c r="I179" s="126" t="s">
        <v>598</v>
      </c>
      <c r="J179" s="126" t="s">
        <v>635</v>
      </c>
      <c r="K179" s="128" t="s">
        <v>636</v>
      </c>
      <c r="L179" s="121" t="s">
        <v>519</v>
      </c>
      <c r="M179" s="123" t="s">
        <v>641</v>
      </c>
      <c r="N179" s="129">
        <v>43709</v>
      </c>
      <c r="O179" s="129">
        <v>44530</v>
      </c>
      <c r="P179" s="129">
        <v>44530</v>
      </c>
      <c r="Q179" s="130">
        <f>75000+75000</f>
        <v>150000</v>
      </c>
      <c r="R179" s="113"/>
      <c r="S179" s="132">
        <v>50000</v>
      </c>
      <c r="T179" s="132"/>
      <c r="U179" s="132">
        <v>20000</v>
      </c>
      <c r="V179" s="132"/>
      <c r="W179" s="132">
        <v>5000</v>
      </c>
      <c r="X179" s="132"/>
      <c r="Y179" s="111">
        <v>75000</v>
      </c>
      <c r="Z179" s="133">
        <f t="shared" si="31"/>
        <v>75000</v>
      </c>
      <c r="AA179" s="133">
        <f t="shared" si="32"/>
        <v>0</v>
      </c>
      <c r="AB179" s="141"/>
      <c r="AC179" s="132">
        <v>50000</v>
      </c>
      <c r="AD179" s="132"/>
      <c r="AE179" s="132">
        <v>20000</v>
      </c>
      <c r="AF179" s="132"/>
      <c r="AG179" s="132">
        <v>5000</v>
      </c>
      <c r="AH179" s="132"/>
      <c r="AI179" s="111">
        <v>75000</v>
      </c>
      <c r="AJ179" s="134">
        <f t="shared" si="30"/>
        <v>75000</v>
      </c>
      <c r="AK179" s="134">
        <f t="shared" si="25"/>
        <v>0</v>
      </c>
      <c r="AL179" s="142"/>
      <c r="AM179" s="132">
        <v>50000</v>
      </c>
      <c r="AN179" s="132">
        <v>0</v>
      </c>
      <c r="AO179" s="132">
        <v>20000</v>
      </c>
      <c r="AP179" s="132">
        <v>0</v>
      </c>
      <c r="AQ179" s="132">
        <v>5000</v>
      </c>
      <c r="AR179" s="132">
        <v>0</v>
      </c>
      <c r="AS179" s="116">
        <f>SUM(AM179:AR179)</f>
        <v>75000</v>
      </c>
      <c r="AT179" s="134">
        <f t="shared" si="33"/>
        <v>75000</v>
      </c>
      <c r="AU179" s="134">
        <f t="shared" si="26"/>
        <v>0</v>
      </c>
      <c r="AV179" s="142"/>
      <c r="AW179" s="135"/>
      <c r="AX179" s="135"/>
      <c r="AY179" s="135"/>
      <c r="AZ179" s="135"/>
      <c r="BA179" s="135"/>
      <c r="BB179" s="116"/>
      <c r="BC179" s="113"/>
      <c r="BD179" s="116"/>
      <c r="BE179" s="113"/>
      <c r="BF179" s="116"/>
      <c r="BG179" s="116"/>
      <c r="BH179" s="137">
        <f t="shared" si="27"/>
        <v>225000</v>
      </c>
      <c r="BI179" s="138">
        <f t="shared" si="28"/>
        <v>75000</v>
      </c>
      <c r="BJ179" s="147"/>
      <c r="BK179" s="91"/>
    </row>
    <row r="180" spans="1:63" ht="15.75">
      <c r="A180" s="123">
        <v>500970</v>
      </c>
      <c r="B180" s="126">
        <v>208631</v>
      </c>
      <c r="C180" s="124" t="s">
        <v>1091</v>
      </c>
      <c r="D180" s="124" t="s">
        <v>1092</v>
      </c>
      <c r="E180" s="125" t="s">
        <v>1090</v>
      </c>
      <c r="F180" s="124" t="s">
        <v>330</v>
      </c>
      <c r="G180" s="127" t="s">
        <v>53</v>
      </c>
      <c r="H180" s="126" t="s">
        <v>597</v>
      </c>
      <c r="I180" s="126" t="s">
        <v>598</v>
      </c>
      <c r="J180" s="126" t="s">
        <v>635</v>
      </c>
      <c r="K180" s="128" t="s">
        <v>911</v>
      </c>
      <c r="L180" s="121" t="s">
        <v>637</v>
      </c>
      <c r="M180" s="123" t="s">
        <v>638</v>
      </c>
      <c r="N180" s="129">
        <v>42248</v>
      </c>
      <c r="O180" s="129">
        <v>42643</v>
      </c>
      <c r="P180" s="129">
        <v>42643</v>
      </c>
      <c r="Q180" s="130">
        <v>83333</v>
      </c>
      <c r="R180" s="132">
        <v>83333</v>
      </c>
      <c r="S180" s="132"/>
      <c r="T180" s="132">
        <v>0</v>
      </c>
      <c r="U180" s="132">
        <v>0</v>
      </c>
      <c r="V180" s="132"/>
      <c r="W180" s="132">
        <v>0</v>
      </c>
      <c r="X180" s="132">
        <v>0</v>
      </c>
      <c r="Y180" s="111">
        <v>83333</v>
      </c>
      <c r="Z180" s="133">
        <f t="shared" si="31"/>
        <v>83333</v>
      </c>
      <c r="AA180" s="133">
        <f t="shared" si="32"/>
        <v>0</v>
      </c>
      <c r="AB180" s="141"/>
      <c r="AC180" s="132" t="s">
        <v>602</v>
      </c>
      <c r="AD180" s="132" t="s">
        <v>602</v>
      </c>
      <c r="AE180" s="132" t="s">
        <v>602</v>
      </c>
      <c r="AF180" s="132" t="s">
        <v>602</v>
      </c>
      <c r="AG180" s="132" t="s">
        <v>602</v>
      </c>
      <c r="AH180" s="132"/>
      <c r="AI180" s="111">
        <v>0</v>
      </c>
      <c r="AJ180" s="134">
        <f t="shared" si="30"/>
        <v>0</v>
      </c>
      <c r="AK180" s="134">
        <f t="shared" si="25"/>
        <v>0</v>
      </c>
      <c r="AL180" s="142"/>
      <c r="AM180" s="132">
        <v>0</v>
      </c>
      <c r="AN180" s="132">
        <v>0</v>
      </c>
      <c r="AO180" s="132">
        <v>0</v>
      </c>
      <c r="AP180" s="132">
        <v>0</v>
      </c>
      <c r="AQ180" s="132">
        <v>0</v>
      </c>
      <c r="AR180" s="132">
        <v>0</v>
      </c>
      <c r="AS180" s="116">
        <v>0</v>
      </c>
      <c r="AT180" s="134">
        <f t="shared" si="33"/>
        <v>0</v>
      </c>
      <c r="AU180" s="134">
        <f t="shared" si="26"/>
        <v>0</v>
      </c>
      <c r="AV180" s="142"/>
      <c r="AW180" s="132" t="s">
        <v>602</v>
      </c>
      <c r="AX180" s="132" t="s">
        <v>602</v>
      </c>
      <c r="AY180" s="132" t="s">
        <v>602</v>
      </c>
      <c r="AZ180" s="132" t="s">
        <v>602</v>
      </c>
      <c r="BA180" s="132" t="s">
        <v>602</v>
      </c>
      <c r="BB180" s="116"/>
      <c r="BC180" s="113"/>
      <c r="BD180" s="116"/>
      <c r="BE180" s="113"/>
      <c r="BF180" s="116"/>
      <c r="BG180" s="116"/>
      <c r="BH180" s="137">
        <f t="shared" si="27"/>
        <v>83333</v>
      </c>
      <c r="BI180" s="138">
        <f t="shared" si="28"/>
        <v>0</v>
      </c>
      <c r="BJ180" s="126"/>
      <c r="BK180" s="91"/>
    </row>
    <row r="181" spans="1:63" ht="15.75">
      <c r="A181" s="123">
        <v>501349</v>
      </c>
      <c r="B181" s="126">
        <v>208631</v>
      </c>
      <c r="C181" s="124" t="s">
        <v>1091</v>
      </c>
      <c r="D181" s="124" t="s">
        <v>1092</v>
      </c>
      <c r="E181" s="125" t="s">
        <v>1090</v>
      </c>
      <c r="F181" s="124" t="s">
        <v>330</v>
      </c>
      <c r="G181" s="127" t="s">
        <v>53</v>
      </c>
      <c r="H181" s="126" t="s">
        <v>628</v>
      </c>
      <c r="I181" s="126" t="s">
        <v>598</v>
      </c>
      <c r="J181" s="126" t="s">
        <v>635</v>
      </c>
      <c r="K181" s="128" t="s">
        <v>636</v>
      </c>
      <c r="L181" s="121" t="s">
        <v>515</v>
      </c>
      <c r="M181" s="123" t="s">
        <v>640</v>
      </c>
      <c r="N181" s="129">
        <v>42614</v>
      </c>
      <c r="O181" s="129">
        <v>43708</v>
      </c>
      <c r="P181" s="129">
        <v>43708</v>
      </c>
      <c r="Q181" s="130">
        <v>556823</v>
      </c>
      <c r="R181" s="113"/>
      <c r="S181" s="132">
        <v>40000</v>
      </c>
      <c r="T181" s="132">
        <v>0</v>
      </c>
      <c r="U181" s="132">
        <v>50000</v>
      </c>
      <c r="V181" s="132"/>
      <c r="W181" s="132">
        <v>10000</v>
      </c>
      <c r="X181" s="132">
        <v>0</v>
      </c>
      <c r="Y181" s="111">
        <v>100000</v>
      </c>
      <c r="Z181" s="133">
        <f t="shared" si="31"/>
        <v>100000</v>
      </c>
      <c r="AA181" s="133">
        <f t="shared" si="32"/>
        <v>0</v>
      </c>
      <c r="AB181" s="141"/>
      <c r="AC181" s="132">
        <v>90000</v>
      </c>
      <c r="AD181" s="132">
        <v>0</v>
      </c>
      <c r="AE181" s="132">
        <v>116000</v>
      </c>
      <c r="AF181" s="132">
        <v>34823</v>
      </c>
      <c r="AG181" s="132">
        <v>0</v>
      </c>
      <c r="AH181" s="132"/>
      <c r="AI181" s="111">
        <v>240823</v>
      </c>
      <c r="AJ181" s="134">
        <f t="shared" si="30"/>
        <v>240823</v>
      </c>
      <c r="AK181" s="134">
        <f t="shared" si="25"/>
        <v>0</v>
      </c>
      <c r="AL181" s="142"/>
      <c r="AM181" s="135">
        <v>90000</v>
      </c>
      <c r="AN181" s="135">
        <v>0</v>
      </c>
      <c r="AO181" s="135">
        <v>116000</v>
      </c>
      <c r="AP181" s="135"/>
      <c r="AQ181" s="135">
        <v>10000</v>
      </c>
      <c r="AR181" s="135">
        <v>0</v>
      </c>
      <c r="AS181" s="116">
        <f>SUM(AM181:AR181)</f>
        <v>216000</v>
      </c>
      <c r="AT181" s="134">
        <f t="shared" si="33"/>
        <v>216000</v>
      </c>
      <c r="AU181" s="134">
        <f t="shared" si="26"/>
        <v>0</v>
      </c>
      <c r="AV181" s="142"/>
      <c r="AW181" s="135"/>
      <c r="AX181" s="135"/>
      <c r="AY181" s="135"/>
      <c r="AZ181" s="135"/>
      <c r="BA181" s="135"/>
      <c r="BB181" s="116"/>
      <c r="BC181" s="113"/>
      <c r="BD181" s="116"/>
      <c r="BE181" s="113"/>
      <c r="BF181" s="116"/>
      <c r="BG181" s="116"/>
      <c r="BH181" s="137">
        <f t="shared" si="27"/>
        <v>556823</v>
      </c>
      <c r="BI181" s="138">
        <f t="shared" si="28"/>
        <v>0</v>
      </c>
      <c r="BJ181" s="126"/>
      <c r="BK181" s="91"/>
    </row>
    <row r="182" spans="1:63" ht="15.75">
      <c r="A182" s="123">
        <v>501382</v>
      </c>
      <c r="B182" s="126">
        <v>208631</v>
      </c>
      <c r="C182" s="124" t="s">
        <v>1091</v>
      </c>
      <c r="D182" s="124" t="s">
        <v>1092</v>
      </c>
      <c r="E182" s="125" t="s">
        <v>1090</v>
      </c>
      <c r="F182" s="124" t="s">
        <v>330</v>
      </c>
      <c r="G182" s="127" t="s">
        <v>53</v>
      </c>
      <c r="H182" s="126" t="s">
        <v>597</v>
      </c>
      <c r="I182" s="126" t="s">
        <v>598</v>
      </c>
      <c r="J182" s="126" t="s">
        <v>635</v>
      </c>
      <c r="K182" s="128" t="s">
        <v>911</v>
      </c>
      <c r="L182" s="121" t="s">
        <v>515</v>
      </c>
      <c r="M182" s="123" t="s">
        <v>1093</v>
      </c>
      <c r="N182" s="129">
        <v>42614</v>
      </c>
      <c r="O182" s="129">
        <v>42978</v>
      </c>
      <c r="P182" s="129">
        <v>43708</v>
      </c>
      <c r="Q182" s="130">
        <f>Y182+AI182</f>
        <v>140823</v>
      </c>
      <c r="R182" s="113"/>
      <c r="S182" s="132">
        <v>50000</v>
      </c>
      <c r="T182" s="132">
        <v>0</v>
      </c>
      <c r="U182" s="132">
        <v>66000</v>
      </c>
      <c r="V182" s="132"/>
      <c r="W182" s="132">
        <v>24823</v>
      </c>
      <c r="X182" s="132">
        <v>0</v>
      </c>
      <c r="Y182" s="111">
        <v>140823</v>
      </c>
      <c r="Z182" s="133">
        <f t="shared" si="31"/>
        <v>140823</v>
      </c>
      <c r="AA182" s="133">
        <f t="shared" si="32"/>
        <v>0</v>
      </c>
      <c r="AB182" s="141"/>
      <c r="AC182" s="132">
        <v>0</v>
      </c>
      <c r="AD182" s="132">
        <v>0</v>
      </c>
      <c r="AE182" s="132">
        <v>0</v>
      </c>
      <c r="AF182" s="132">
        <v>0</v>
      </c>
      <c r="AG182" s="132">
        <v>0</v>
      </c>
      <c r="AH182" s="132"/>
      <c r="AI182" s="111">
        <v>0</v>
      </c>
      <c r="AJ182" s="134">
        <f t="shared" si="30"/>
        <v>0</v>
      </c>
      <c r="AK182" s="134">
        <f t="shared" si="25"/>
        <v>0</v>
      </c>
      <c r="AL182" s="142"/>
      <c r="AM182" s="132">
        <v>0</v>
      </c>
      <c r="AN182" s="132">
        <v>0</v>
      </c>
      <c r="AO182" s="132">
        <v>0</v>
      </c>
      <c r="AP182" s="132">
        <v>0</v>
      </c>
      <c r="AQ182" s="132">
        <v>0</v>
      </c>
      <c r="AR182" s="132">
        <v>0</v>
      </c>
      <c r="AS182" s="116">
        <v>0</v>
      </c>
      <c r="AT182" s="134">
        <f t="shared" si="33"/>
        <v>0</v>
      </c>
      <c r="AU182" s="134">
        <f t="shared" si="26"/>
        <v>0</v>
      </c>
      <c r="AV182" s="142"/>
      <c r="AW182" s="135"/>
      <c r="AX182" s="135"/>
      <c r="AY182" s="135"/>
      <c r="AZ182" s="135"/>
      <c r="BA182" s="135"/>
      <c r="BB182" s="116"/>
      <c r="BC182" s="113"/>
      <c r="BD182" s="116"/>
      <c r="BE182" s="113"/>
      <c r="BF182" s="116"/>
      <c r="BG182" s="116"/>
      <c r="BH182" s="137">
        <f t="shared" si="27"/>
        <v>140823</v>
      </c>
      <c r="BI182" s="138">
        <f t="shared" si="28"/>
        <v>0</v>
      </c>
      <c r="BJ182" s="126"/>
      <c r="BK182" s="91"/>
    </row>
    <row r="183" spans="1:63" ht="15.75">
      <c r="A183" s="123">
        <v>507779</v>
      </c>
      <c r="B183" s="126">
        <v>208631</v>
      </c>
      <c r="C183" s="124" t="s">
        <v>1091</v>
      </c>
      <c r="D183" s="124" t="s">
        <v>1092</v>
      </c>
      <c r="E183" s="125" t="s">
        <v>1090</v>
      </c>
      <c r="F183" s="124" t="s">
        <v>330</v>
      </c>
      <c r="G183" s="127" t="s">
        <v>53</v>
      </c>
      <c r="H183" s="149" t="s">
        <v>628</v>
      </c>
      <c r="I183" s="126" t="s">
        <v>598</v>
      </c>
      <c r="J183" s="126" t="s">
        <v>635</v>
      </c>
      <c r="K183" s="128" t="s">
        <v>911</v>
      </c>
      <c r="L183" s="121" t="s">
        <v>519</v>
      </c>
      <c r="M183" s="123" t="s">
        <v>641</v>
      </c>
      <c r="N183" s="129">
        <v>43709</v>
      </c>
      <c r="O183" s="129">
        <v>44530</v>
      </c>
      <c r="P183" s="129">
        <v>44530</v>
      </c>
      <c r="Q183" s="130">
        <f>50000+50000</f>
        <v>100000</v>
      </c>
      <c r="R183" s="113"/>
      <c r="S183" s="132">
        <v>30000</v>
      </c>
      <c r="T183" s="132">
        <v>0</v>
      </c>
      <c r="U183" s="132">
        <v>8000</v>
      </c>
      <c r="V183" s="132">
        <v>0</v>
      </c>
      <c r="W183" s="132">
        <v>12000</v>
      </c>
      <c r="X183" s="132">
        <v>0</v>
      </c>
      <c r="Y183" s="111">
        <v>50000</v>
      </c>
      <c r="Z183" s="133">
        <f t="shared" si="31"/>
        <v>50000</v>
      </c>
      <c r="AA183" s="133">
        <f t="shared" si="32"/>
        <v>0</v>
      </c>
      <c r="AB183" s="141"/>
      <c r="AC183" s="132">
        <v>30000</v>
      </c>
      <c r="AD183" s="132">
        <v>0</v>
      </c>
      <c r="AE183" s="132">
        <v>8000</v>
      </c>
      <c r="AF183" s="132">
        <v>0</v>
      </c>
      <c r="AG183" s="132">
        <v>12000</v>
      </c>
      <c r="AH183" s="132">
        <v>0</v>
      </c>
      <c r="AI183" s="111">
        <v>50000</v>
      </c>
      <c r="AJ183" s="134">
        <f t="shared" si="30"/>
        <v>50000</v>
      </c>
      <c r="AK183" s="134">
        <f t="shared" si="25"/>
        <v>0</v>
      </c>
      <c r="AL183" s="142"/>
      <c r="AM183" s="132">
        <v>30000</v>
      </c>
      <c r="AN183" s="132">
        <v>0</v>
      </c>
      <c r="AO183" s="132">
        <v>8000</v>
      </c>
      <c r="AP183" s="132">
        <v>0</v>
      </c>
      <c r="AQ183" s="132">
        <v>12000</v>
      </c>
      <c r="AR183" s="132">
        <v>0</v>
      </c>
      <c r="AS183" s="116">
        <f>SUM(AM183:AR183)</f>
        <v>50000</v>
      </c>
      <c r="AT183" s="134">
        <f t="shared" si="33"/>
        <v>50000</v>
      </c>
      <c r="AU183" s="134">
        <f t="shared" si="26"/>
        <v>0</v>
      </c>
      <c r="AV183" s="142"/>
      <c r="AW183" s="135"/>
      <c r="AX183" s="135"/>
      <c r="AY183" s="135"/>
      <c r="AZ183" s="135"/>
      <c r="BA183" s="135"/>
      <c r="BB183" s="116"/>
      <c r="BC183" s="113"/>
      <c r="BD183" s="116"/>
      <c r="BE183" s="113"/>
      <c r="BF183" s="116"/>
      <c r="BG183" s="116"/>
      <c r="BH183" s="137">
        <f t="shared" si="27"/>
        <v>150000</v>
      </c>
      <c r="BI183" s="138">
        <f t="shared" si="28"/>
        <v>50000</v>
      </c>
      <c r="BJ183" s="126"/>
      <c r="BK183" s="91"/>
    </row>
    <row r="184" spans="1:63" ht="15.75">
      <c r="A184" s="123">
        <v>501045</v>
      </c>
      <c r="B184" s="126">
        <v>208636</v>
      </c>
      <c r="C184" s="121" t="s">
        <v>1096</v>
      </c>
      <c r="D184" s="121" t="s">
        <v>1097</v>
      </c>
      <c r="E184" s="125" t="s">
        <v>1094</v>
      </c>
      <c r="F184" s="124" t="s">
        <v>1095</v>
      </c>
      <c r="G184" s="127" t="s">
        <v>75</v>
      </c>
      <c r="H184" s="123" t="s">
        <v>597</v>
      </c>
      <c r="I184" s="126" t="s">
        <v>598</v>
      </c>
      <c r="J184" s="126" t="s">
        <v>1098</v>
      </c>
      <c r="K184" s="128" t="s">
        <v>1099</v>
      </c>
      <c r="L184" s="121" t="s">
        <v>19</v>
      </c>
      <c r="M184" s="143" t="s">
        <v>661</v>
      </c>
      <c r="N184" s="129">
        <v>42522</v>
      </c>
      <c r="O184" s="129">
        <v>43312</v>
      </c>
      <c r="P184" s="129">
        <v>43251</v>
      </c>
      <c r="Q184" s="144">
        <v>150000</v>
      </c>
      <c r="R184" s="132">
        <v>75000</v>
      </c>
      <c r="S184" s="132">
        <v>0</v>
      </c>
      <c r="T184" s="132">
        <v>0</v>
      </c>
      <c r="U184" s="132">
        <v>0</v>
      </c>
      <c r="V184" s="132">
        <v>0</v>
      </c>
      <c r="W184" s="132">
        <v>0</v>
      </c>
      <c r="X184" s="132">
        <v>0</v>
      </c>
      <c r="Y184" s="111">
        <v>75000</v>
      </c>
      <c r="Z184" s="133">
        <f t="shared" si="31"/>
        <v>75000</v>
      </c>
      <c r="AA184" s="133">
        <f t="shared" si="32"/>
        <v>0</v>
      </c>
      <c r="AB184" s="132">
        <v>75000</v>
      </c>
      <c r="AC184" s="132">
        <v>0</v>
      </c>
      <c r="AD184" s="132">
        <v>0</v>
      </c>
      <c r="AE184" s="132">
        <v>0</v>
      </c>
      <c r="AF184" s="132">
        <v>0</v>
      </c>
      <c r="AG184" s="132">
        <v>0</v>
      </c>
      <c r="AH184" s="132"/>
      <c r="AI184" s="111">
        <v>75000</v>
      </c>
      <c r="AJ184" s="134">
        <f t="shared" si="30"/>
        <v>75000</v>
      </c>
      <c r="AK184" s="134">
        <f t="shared" si="25"/>
        <v>0</v>
      </c>
      <c r="AL184" s="145"/>
      <c r="AM184" s="132">
        <v>0</v>
      </c>
      <c r="AN184" s="132">
        <v>0</v>
      </c>
      <c r="AO184" s="132">
        <v>0</v>
      </c>
      <c r="AP184" s="132">
        <v>0</v>
      </c>
      <c r="AQ184" s="132">
        <v>0</v>
      </c>
      <c r="AR184" s="132">
        <v>0</v>
      </c>
      <c r="AS184" s="116">
        <v>0</v>
      </c>
      <c r="AT184" s="134">
        <f t="shared" si="33"/>
        <v>0</v>
      </c>
      <c r="AU184" s="134">
        <f t="shared" si="26"/>
        <v>0</v>
      </c>
      <c r="AV184" s="142"/>
      <c r="AW184" s="146"/>
      <c r="AX184" s="146"/>
      <c r="AY184" s="146"/>
      <c r="AZ184" s="146"/>
      <c r="BA184" s="146"/>
      <c r="BB184" s="116"/>
      <c r="BC184" s="113"/>
      <c r="BD184" s="116"/>
      <c r="BE184" s="113"/>
      <c r="BF184" s="116"/>
      <c r="BG184" s="116"/>
      <c r="BH184" s="137">
        <f t="shared" si="27"/>
        <v>150000</v>
      </c>
      <c r="BI184" s="138">
        <f t="shared" si="28"/>
        <v>0</v>
      </c>
      <c r="BJ184" s="147" t="s">
        <v>1100</v>
      </c>
      <c r="BK184" s="91"/>
    </row>
    <row r="185" spans="1:63" ht="15.75">
      <c r="A185" s="123">
        <v>506475</v>
      </c>
      <c r="B185" s="126">
        <v>208636</v>
      </c>
      <c r="C185" s="123" t="s">
        <v>1096</v>
      </c>
      <c r="D185" s="121" t="s">
        <v>1097</v>
      </c>
      <c r="E185" s="125" t="s">
        <v>1094</v>
      </c>
      <c r="F185" s="124" t="s">
        <v>1095</v>
      </c>
      <c r="G185" s="127" t="s">
        <v>75</v>
      </c>
      <c r="H185" s="123" t="s">
        <v>597</v>
      </c>
      <c r="I185" s="126" t="s">
        <v>598</v>
      </c>
      <c r="J185" s="126" t="s">
        <v>1098</v>
      </c>
      <c r="K185" s="128" t="s">
        <v>1099</v>
      </c>
      <c r="L185" s="121" t="s">
        <v>19</v>
      </c>
      <c r="M185" s="123" t="s">
        <v>1101</v>
      </c>
      <c r="N185" s="129">
        <v>43556</v>
      </c>
      <c r="O185" s="129">
        <v>43921</v>
      </c>
      <c r="P185" s="129">
        <v>43921</v>
      </c>
      <c r="Q185" s="144">
        <v>75000</v>
      </c>
      <c r="R185" s="150"/>
      <c r="S185" s="132">
        <v>49000</v>
      </c>
      <c r="T185" s="132">
        <v>0</v>
      </c>
      <c r="U185" s="132">
        <v>10000</v>
      </c>
      <c r="V185" s="132">
        <v>0</v>
      </c>
      <c r="W185" s="132">
        <v>16000</v>
      </c>
      <c r="X185" s="132">
        <v>0</v>
      </c>
      <c r="Y185" s="111">
        <v>75000</v>
      </c>
      <c r="Z185" s="133">
        <f t="shared" si="31"/>
        <v>75000</v>
      </c>
      <c r="AA185" s="133">
        <f t="shared" si="32"/>
        <v>0</v>
      </c>
      <c r="AB185" s="141"/>
      <c r="AC185" s="132" t="s">
        <v>602</v>
      </c>
      <c r="AD185" s="132" t="s">
        <v>602</v>
      </c>
      <c r="AE185" s="132" t="s">
        <v>602</v>
      </c>
      <c r="AF185" s="132" t="s">
        <v>602</v>
      </c>
      <c r="AG185" s="132" t="s">
        <v>602</v>
      </c>
      <c r="AH185" s="159"/>
      <c r="AI185" s="111"/>
      <c r="AJ185" s="134">
        <f t="shared" si="30"/>
        <v>0</v>
      </c>
      <c r="AK185" s="134">
        <f t="shared" si="25"/>
        <v>0</v>
      </c>
      <c r="AL185" s="145"/>
      <c r="AM185" s="132">
        <v>0</v>
      </c>
      <c r="AN185" s="132">
        <v>0</v>
      </c>
      <c r="AO185" s="132">
        <v>0</v>
      </c>
      <c r="AP185" s="132">
        <v>0</v>
      </c>
      <c r="AQ185" s="132">
        <v>0</v>
      </c>
      <c r="AR185" s="132">
        <v>0</v>
      </c>
      <c r="AS185" s="154"/>
      <c r="AT185" s="134">
        <f t="shared" si="33"/>
        <v>0</v>
      </c>
      <c r="AU185" s="134">
        <f t="shared" si="26"/>
        <v>0</v>
      </c>
      <c r="AV185" s="121"/>
      <c r="AW185" s="153"/>
      <c r="AX185" s="153"/>
      <c r="AY185" s="153"/>
      <c r="AZ185" s="153"/>
      <c r="BA185" s="153"/>
      <c r="BB185" s="154"/>
      <c r="BC185" s="99"/>
      <c r="BD185" s="154"/>
      <c r="BE185" s="99"/>
      <c r="BF185" s="154"/>
      <c r="BG185" s="154"/>
      <c r="BH185" s="137">
        <f t="shared" si="27"/>
        <v>75000</v>
      </c>
      <c r="BI185" s="138">
        <f t="shared" si="28"/>
        <v>0</v>
      </c>
      <c r="BJ185" s="155"/>
      <c r="BK185" s="91"/>
    </row>
    <row r="186" spans="1:63" ht="15.75">
      <c r="A186" s="184">
        <v>509882</v>
      </c>
      <c r="B186" s="163">
        <v>208725</v>
      </c>
      <c r="C186" s="148" t="s">
        <v>1104</v>
      </c>
      <c r="D186" s="148" t="s">
        <v>881</v>
      </c>
      <c r="E186" s="125" t="s">
        <v>1102</v>
      </c>
      <c r="F186" s="183" t="s">
        <v>1103</v>
      </c>
      <c r="G186" s="185" t="s">
        <v>68</v>
      </c>
      <c r="H186" s="164" t="s">
        <v>628</v>
      </c>
      <c r="I186" s="163" t="s">
        <v>598</v>
      </c>
      <c r="J186" s="186" t="s">
        <v>1105</v>
      </c>
      <c r="K186" s="187" t="s">
        <v>1106</v>
      </c>
      <c r="L186" s="121" t="s">
        <v>19</v>
      </c>
      <c r="M186" s="168" t="s">
        <v>889</v>
      </c>
      <c r="N186" s="129">
        <v>44044</v>
      </c>
      <c r="O186" s="129">
        <v>44592</v>
      </c>
      <c r="P186" s="129">
        <v>44592</v>
      </c>
      <c r="Q186" s="130">
        <v>41300</v>
      </c>
      <c r="R186" s="113"/>
      <c r="S186" s="132">
        <v>27800</v>
      </c>
      <c r="T186" s="132"/>
      <c r="U186" s="132">
        <v>4500</v>
      </c>
      <c r="V186" s="132"/>
      <c r="W186" s="132">
        <v>9000</v>
      </c>
      <c r="X186" s="132"/>
      <c r="Y186" s="111">
        <v>41300</v>
      </c>
      <c r="Z186" s="133">
        <f>SUM(S186:X186)</f>
        <v>41300</v>
      </c>
      <c r="AA186" s="133">
        <f>Y186-Z186</f>
        <v>0</v>
      </c>
      <c r="AB186" s="141"/>
      <c r="AC186" s="132"/>
      <c r="AD186" s="132"/>
      <c r="AE186" s="132"/>
      <c r="AF186" s="132"/>
      <c r="AG186" s="132"/>
      <c r="AH186" s="132"/>
      <c r="AI186" s="111">
        <v>0</v>
      </c>
      <c r="AJ186" s="134">
        <f t="shared" si="30"/>
        <v>0</v>
      </c>
      <c r="AK186" s="134">
        <f t="shared" si="25"/>
        <v>0</v>
      </c>
      <c r="AL186" s="142"/>
      <c r="AM186" s="132"/>
      <c r="AN186" s="132"/>
      <c r="AO186" s="132"/>
      <c r="AP186" s="132"/>
      <c r="AQ186" s="132"/>
      <c r="AR186" s="132"/>
      <c r="AS186" s="116">
        <v>0</v>
      </c>
      <c r="AT186" s="134">
        <f t="shared" si="33"/>
        <v>0</v>
      </c>
      <c r="AU186" s="134">
        <f t="shared" si="26"/>
        <v>0</v>
      </c>
      <c r="AV186" s="142"/>
      <c r="AW186" s="135"/>
      <c r="AX186" s="135"/>
      <c r="AY186" s="135"/>
      <c r="AZ186" s="135"/>
      <c r="BA186" s="135"/>
      <c r="BB186" s="116"/>
      <c r="BC186" s="113"/>
      <c r="BD186" s="116"/>
      <c r="BE186" s="113"/>
      <c r="BF186" s="116"/>
      <c r="BG186" s="116"/>
      <c r="BH186" s="137">
        <f t="shared" si="27"/>
        <v>41300</v>
      </c>
      <c r="BI186" s="138">
        <f t="shared" si="28"/>
        <v>0</v>
      </c>
      <c r="BJ186" s="126"/>
      <c r="BK186" s="91"/>
    </row>
    <row r="187" spans="1:63" ht="15.75">
      <c r="A187" s="123">
        <v>501380</v>
      </c>
      <c r="B187" s="126">
        <v>208728</v>
      </c>
      <c r="C187" s="148" t="s">
        <v>1108</v>
      </c>
      <c r="D187" s="148" t="s">
        <v>608</v>
      </c>
      <c r="E187" s="125" t="s">
        <v>1107</v>
      </c>
      <c r="F187" s="124" t="s">
        <v>71</v>
      </c>
      <c r="G187" s="127" t="s">
        <v>53</v>
      </c>
      <c r="H187" s="123" t="s">
        <v>597</v>
      </c>
      <c r="I187" s="126" t="s">
        <v>598</v>
      </c>
      <c r="J187" s="126" t="s">
        <v>645</v>
      </c>
      <c r="K187" s="128" t="s">
        <v>666</v>
      </c>
      <c r="L187" s="121" t="s">
        <v>515</v>
      </c>
      <c r="M187" s="123" t="s">
        <v>982</v>
      </c>
      <c r="N187" s="129">
        <v>42614</v>
      </c>
      <c r="O187" s="129">
        <v>44104</v>
      </c>
      <c r="P187" s="129">
        <v>44149</v>
      </c>
      <c r="Q187" s="144">
        <v>53170</v>
      </c>
      <c r="R187" s="150"/>
      <c r="S187" s="132">
        <v>0</v>
      </c>
      <c r="T187" s="132">
        <v>0</v>
      </c>
      <c r="U187" s="132">
        <v>0</v>
      </c>
      <c r="V187" s="132"/>
      <c r="W187" s="132">
        <v>0</v>
      </c>
      <c r="X187" s="132">
        <v>5000</v>
      </c>
      <c r="Y187" s="111">
        <v>5000</v>
      </c>
      <c r="Z187" s="133">
        <f t="shared" ref="Z187:Z218" si="34">SUM(R187:X187)</f>
        <v>5000</v>
      </c>
      <c r="AA187" s="133">
        <f>Z187-Y187</f>
        <v>0</v>
      </c>
      <c r="AB187" s="141"/>
      <c r="AC187" s="132">
        <v>14154.72</v>
      </c>
      <c r="AD187" s="132">
        <v>339.71</v>
      </c>
      <c r="AE187" s="132">
        <v>6171.46</v>
      </c>
      <c r="AF187" s="132">
        <v>3419.1</v>
      </c>
      <c r="AG187" s="132">
        <v>0</v>
      </c>
      <c r="AH187" s="132"/>
      <c r="AI187" s="111">
        <v>24085</v>
      </c>
      <c r="AJ187" s="134">
        <f t="shared" si="30"/>
        <v>24084.989999999998</v>
      </c>
      <c r="AK187" s="134">
        <f t="shared" si="25"/>
        <v>-1.0000000002037268E-2</v>
      </c>
      <c r="AL187" s="142"/>
      <c r="AM187" s="135">
        <v>14154.72</v>
      </c>
      <c r="AN187" s="135">
        <v>339.72</v>
      </c>
      <c r="AO187" s="135">
        <v>6171.46</v>
      </c>
      <c r="AP187" s="135"/>
      <c r="AQ187" s="135">
        <v>3419.1</v>
      </c>
      <c r="AR187" s="135">
        <v>0</v>
      </c>
      <c r="AS187" s="116">
        <v>24085</v>
      </c>
      <c r="AT187" s="134">
        <f t="shared" si="33"/>
        <v>24084.999999999996</v>
      </c>
      <c r="AU187" s="134">
        <f t="shared" si="26"/>
        <v>0</v>
      </c>
      <c r="AV187" s="142"/>
      <c r="AW187" s="135"/>
      <c r="AX187" s="135"/>
      <c r="AY187" s="135"/>
      <c r="AZ187" s="135"/>
      <c r="BA187" s="135"/>
      <c r="BB187" s="116"/>
      <c r="BC187" s="113"/>
      <c r="BD187" s="116"/>
      <c r="BE187" s="113"/>
      <c r="BF187" s="116"/>
      <c r="BG187" s="116"/>
      <c r="BH187" s="137">
        <f t="shared" si="27"/>
        <v>53170</v>
      </c>
      <c r="BI187" s="138">
        <f t="shared" si="28"/>
        <v>0</v>
      </c>
      <c r="BJ187" s="147"/>
      <c r="BK187" s="91"/>
    </row>
    <row r="188" spans="1:63" ht="15.75">
      <c r="A188" s="123">
        <v>502068</v>
      </c>
      <c r="B188" s="126">
        <v>208728</v>
      </c>
      <c r="C188" s="148" t="s">
        <v>1108</v>
      </c>
      <c r="D188" s="148" t="s">
        <v>608</v>
      </c>
      <c r="E188" s="125" t="s">
        <v>1107</v>
      </c>
      <c r="F188" s="124" t="s">
        <v>71</v>
      </c>
      <c r="G188" s="127" t="s">
        <v>53</v>
      </c>
      <c r="H188" s="123" t="s">
        <v>597</v>
      </c>
      <c r="I188" s="126" t="s">
        <v>598</v>
      </c>
      <c r="J188" s="126" t="s">
        <v>645</v>
      </c>
      <c r="K188" s="128" t="s">
        <v>666</v>
      </c>
      <c r="L188" s="123" t="s">
        <v>732</v>
      </c>
      <c r="M188" s="123" t="s">
        <v>733</v>
      </c>
      <c r="N188" s="129">
        <v>43126</v>
      </c>
      <c r="O188" s="129">
        <v>43190</v>
      </c>
      <c r="P188" s="129">
        <v>43190</v>
      </c>
      <c r="Q188" s="144">
        <v>127850</v>
      </c>
      <c r="R188" s="150"/>
      <c r="S188" s="132">
        <v>49750</v>
      </c>
      <c r="T188" s="132">
        <v>0</v>
      </c>
      <c r="U188" s="132">
        <v>15600</v>
      </c>
      <c r="V188" s="132"/>
      <c r="W188" s="132">
        <v>62500</v>
      </c>
      <c r="X188" s="132"/>
      <c r="Y188" s="111">
        <v>127850</v>
      </c>
      <c r="Z188" s="133">
        <f t="shared" si="34"/>
        <v>127850</v>
      </c>
      <c r="AA188" s="133">
        <f>Z188-Y188</f>
        <v>0</v>
      </c>
      <c r="AB188" s="141"/>
      <c r="AC188" s="132" t="s">
        <v>602</v>
      </c>
      <c r="AD188" s="132" t="s">
        <v>602</v>
      </c>
      <c r="AE188" s="132" t="s">
        <v>602</v>
      </c>
      <c r="AF188" s="132" t="s">
        <v>602</v>
      </c>
      <c r="AG188" s="132" t="s">
        <v>602</v>
      </c>
      <c r="AH188" s="132"/>
      <c r="AI188" s="111">
        <v>0</v>
      </c>
      <c r="AJ188" s="134">
        <f t="shared" si="30"/>
        <v>0</v>
      </c>
      <c r="AK188" s="134">
        <f t="shared" si="25"/>
        <v>0</v>
      </c>
      <c r="AL188" s="142"/>
      <c r="AM188" s="132">
        <v>0</v>
      </c>
      <c r="AN188" s="132">
        <v>0</v>
      </c>
      <c r="AO188" s="132">
        <v>0</v>
      </c>
      <c r="AP188" s="132">
        <v>0</v>
      </c>
      <c r="AQ188" s="132">
        <v>0</v>
      </c>
      <c r="AR188" s="132">
        <v>0</v>
      </c>
      <c r="AS188" s="116">
        <v>0</v>
      </c>
      <c r="AT188" s="134">
        <f t="shared" si="33"/>
        <v>0</v>
      </c>
      <c r="AU188" s="134">
        <f t="shared" si="26"/>
        <v>0</v>
      </c>
      <c r="AV188" s="142"/>
      <c r="AW188" s="132" t="s">
        <v>602</v>
      </c>
      <c r="AX188" s="132" t="s">
        <v>602</v>
      </c>
      <c r="AY188" s="132" t="s">
        <v>602</v>
      </c>
      <c r="AZ188" s="132" t="s">
        <v>602</v>
      </c>
      <c r="BA188" s="132" t="s">
        <v>602</v>
      </c>
      <c r="BB188" s="116">
        <f>SUM(AW188:BA188)</f>
        <v>0</v>
      </c>
      <c r="BC188" s="113"/>
      <c r="BD188" s="116"/>
      <c r="BE188" s="113"/>
      <c r="BF188" s="116"/>
      <c r="BG188" s="116"/>
      <c r="BH188" s="137">
        <f t="shared" si="27"/>
        <v>127850</v>
      </c>
      <c r="BI188" s="138">
        <f t="shared" si="28"/>
        <v>0</v>
      </c>
      <c r="BJ188" s="124" t="s">
        <v>1109</v>
      </c>
      <c r="BK188" s="91"/>
    </row>
    <row r="189" spans="1:63" ht="15.75">
      <c r="A189" s="168">
        <v>507637</v>
      </c>
      <c r="B189" s="126">
        <v>208728</v>
      </c>
      <c r="C189" s="124" t="s">
        <v>1108</v>
      </c>
      <c r="D189" s="124" t="s">
        <v>608</v>
      </c>
      <c r="E189" s="124" t="s">
        <v>1107</v>
      </c>
      <c r="F189" s="124" t="s">
        <v>71</v>
      </c>
      <c r="G189" s="127" t="s">
        <v>53</v>
      </c>
      <c r="H189" s="126" t="s">
        <v>597</v>
      </c>
      <c r="I189" s="126" t="s">
        <v>598</v>
      </c>
      <c r="J189" s="126" t="s">
        <v>645</v>
      </c>
      <c r="K189" s="169" t="s">
        <v>754</v>
      </c>
      <c r="L189" s="121" t="s">
        <v>519</v>
      </c>
      <c r="M189" s="123" t="s">
        <v>736</v>
      </c>
      <c r="N189" s="129">
        <v>43709</v>
      </c>
      <c r="O189" s="129">
        <v>44530</v>
      </c>
      <c r="P189" s="129">
        <v>44530</v>
      </c>
      <c r="Q189" s="130">
        <f>378100+378100</f>
        <v>756200</v>
      </c>
      <c r="R189" s="113"/>
      <c r="S189" s="132">
        <v>105000</v>
      </c>
      <c r="T189" s="132"/>
      <c r="U189" s="132">
        <v>273100</v>
      </c>
      <c r="V189" s="132"/>
      <c r="W189" s="132"/>
      <c r="X189" s="132"/>
      <c r="Y189" s="111">
        <v>378100</v>
      </c>
      <c r="Z189" s="133">
        <f t="shared" si="34"/>
        <v>378100</v>
      </c>
      <c r="AA189" s="133">
        <f>Z189-Y189</f>
        <v>0</v>
      </c>
      <c r="AB189" s="141"/>
      <c r="AC189" s="132">
        <v>105000</v>
      </c>
      <c r="AD189" s="132"/>
      <c r="AE189" s="132">
        <v>273100</v>
      </c>
      <c r="AF189" s="132"/>
      <c r="AG189" s="132"/>
      <c r="AH189" s="132"/>
      <c r="AI189" s="111">
        <v>378100</v>
      </c>
      <c r="AJ189" s="134">
        <f t="shared" si="30"/>
        <v>378100</v>
      </c>
      <c r="AK189" s="134">
        <f t="shared" si="25"/>
        <v>0</v>
      </c>
      <c r="AL189" s="142"/>
      <c r="AM189" s="132">
        <v>105000</v>
      </c>
      <c r="AN189" s="132"/>
      <c r="AO189" s="132">
        <v>273100</v>
      </c>
      <c r="AP189" s="132"/>
      <c r="AQ189" s="132"/>
      <c r="AR189" s="132"/>
      <c r="AS189" s="116">
        <f>SUM(AM189:AR189)</f>
        <v>378100</v>
      </c>
      <c r="AT189" s="134">
        <f t="shared" si="33"/>
        <v>378100</v>
      </c>
      <c r="AU189" s="134">
        <f t="shared" si="26"/>
        <v>0</v>
      </c>
      <c r="AV189" s="142"/>
      <c r="AW189" s="135"/>
      <c r="AX189" s="135"/>
      <c r="AY189" s="135"/>
      <c r="AZ189" s="135"/>
      <c r="BA189" s="135"/>
      <c r="BB189" s="116"/>
      <c r="BC189" s="113"/>
      <c r="BD189" s="116"/>
      <c r="BE189" s="113"/>
      <c r="BF189" s="116"/>
      <c r="BG189" s="116"/>
      <c r="BH189" s="137">
        <f t="shared" si="27"/>
        <v>1134300</v>
      </c>
      <c r="BI189" s="138">
        <f t="shared" si="28"/>
        <v>378100</v>
      </c>
      <c r="BJ189" s="126"/>
      <c r="BK189" s="91"/>
    </row>
    <row r="190" spans="1:63" ht="15.75">
      <c r="A190" s="123">
        <v>511440</v>
      </c>
      <c r="B190" s="126">
        <v>208728</v>
      </c>
      <c r="C190" s="170" t="s">
        <v>1108</v>
      </c>
      <c r="D190" s="148" t="s">
        <v>608</v>
      </c>
      <c r="E190" s="125" t="s">
        <v>1107</v>
      </c>
      <c r="F190" s="124" t="s">
        <v>71</v>
      </c>
      <c r="G190" s="127" t="s">
        <v>53</v>
      </c>
      <c r="H190" s="149" t="s">
        <v>597</v>
      </c>
      <c r="I190" s="126" t="s">
        <v>598</v>
      </c>
      <c r="J190" s="126" t="s">
        <v>645</v>
      </c>
      <c r="K190" s="169" t="s">
        <v>754</v>
      </c>
      <c r="L190" s="121" t="s">
        <v>521</v>
      </c>
      <c r="M190" s="123" t="s">
        <v>1110</v>
      </c>
      <c r="N190" s="129">
        <v>44075</v>
      </c>
      <c r="O190" s="129">
        <v>44439</v>
      </c>
      <c r="P190" s="129">
        <v>44439</v>
      </c>
      <c r="Q190" s="144">
        <v>12500</v>
      </c>
      <c r="R190" s="132"/>
      <c r="S190" s="132">
        <v>12500</v>
      </c>
      <c r="T190" s="132"/>
      <c r="U190" s="132"/>
      <c r="V190" s="132"/>
      <c r="W190" s="132"/>
      <c r="X190" s="132"/>
      <c r="Y190" s="111">
        <v>12500</v>
      </c>
      <c r="Z190" s="133">
        <f t="shared" si="34"/>
        <v>12500</v>
      </c>
      <c r="AA190" s="133">
        <f>Y190-Z190</f>
        <v>0</v>
      </c>
      <c r="AB190" s="141"/>
      <c r="AC190" s="132">
        <v>12500</v>
      </c>
      <c r="AD190" s="132"/>
      <c r="AE190" s="132"/>
      <c r="AF190" s="132"/>
      <c r="AG190" s="132"/>
      <c r="AH190" s="132"/>
      <c r="AI190" s="111">
        <v>12500</v>
      </c>
      <c r="AJ190" s="134">
        <f t="shared" si="30"/>
        <v>12500</v>
      </c>
      <c r="AK190" s="134">
        <f t="shared" si="25"/>
        <v>0</v>
      </c>
      <c r="AL190" s="142"/>
      <c r="AM190" s="132"/>
      <c r="AN190" s="132"/>
      <c r="AO190" s="132"/>
      <c r="AP190" s="132"/>
      <c r="AQ190" s="132"/>
      <c r="AR190" s="135"/>
      <c r="AS190" s="116">
        <v>0</v>
      </c>
      <c r="AT190" s="134">
        <f t="shared" si="33"/>
        <v>0</v>
      </c>
      <c r="AU190" s="134">
        <f t="shared" si="26"/>
        <v>0</v>
      </c>
      <c r="AV190" s="142"/>
      <c r="AW190" s="132"/>
      <c r="AX190" s="132"/>
      <c r="AY190" s="132"/>
      <c r="AZ190" s="132"/>
      <c r="BA190" s="132"/>
      <c r="BB190" s="116"/>
      <c r="BC190" s="113"/>
      <c r="BD190" s="116"/>
      <c r="BE190" s="113"/>
      <c r="BF190" s="116"/>
      <c r="BG190" s="116"/>
      <c r="BH190" s="137">
        <f t="shared" si="27"/>
        <v>25000</v>
      </c>
      <c r="BI190" s="138">
        <f t="shared" si="28"/>
        <v>12500</v>
      </c>
      <c r="BJ190" s="165"/>
      <c r="BK190" s="91"/>
    </row>
    <row r="191" spans="1:63" ht="15.75">
      <c r="A191" s="123">
        <v>501333</v>
      </c>
      <c r="B191" s="126">
        <v>208748</v>
      </c>
      <c r="C191" s="124" t="s">
        <v>1113</v>
      </c>
      <c r="D191" s="124" t="s">
        <v>608</v>
      </c>
      <c r="E191" s="125" t="s">
        <v>1111</v>
      </c>
      <c r="F191" s="124" t="s">
        <v>1112</v>
      </c>
      <c r="G191" s="127" t="s">
        <v>68</v>
      </c>
      <c r="H191" s="126" t="s">
        <v>628</v>
      </c>
      <c r="I191" s="126" t="s">
        <v>598</v>
      </c>
      <c r="J191" s="126" t="s">
        <v>888</v>
      </c>
      <c r="K191" s="128" t="s">
        <v>731</v>
      </c>
      <c r="L191" s="121" t="s">
        <v>515</v>
      </c>
      <c r="M191" s="123" t="s">
        <v>797</v>
      </c>
      <c r="N191" s="129">
        <v>42614</v>
      </c>
      <c r="O191" s="129">
        <v>43830</v>
      </c>
      <c r="P191" s="129">
        <v>44144</v>
      </c>
      <c r="Q191" s="130">
        <v>135000</v>
      </c>
      <c r="R191" s="113"/>
      <c r="S191" s="132">
        <v>45000</v>
      </c>
      <c r="T191" s="132">
        <v>0</v>
      </c>
      <c r="U191" s="132">
        <v>0</v>
      </c>
      <c r="V191" s="132"/>
      <c r="W191" s="132">
        <v>0</v>
      </c>
      <c r="X191" s="132">
        <v>0</v>
      </c>
      <c r="Y191" s="111">
        <v>45000</v>
      </c>
      <c r="Z191" s="133">
        <f t="shared" si="34"/>
        <v>45000</v>
      </c>
      <c r="AA191" s="133">
        <f t="shared" ref="AA191:AA228" si="35">Z191-Y191</f>
        <v>0</v>
      </c>
      <c r="AB191" s="141"/>
      <c r="AC191" s="132">
        <v>45000</v>
      </c>
      <c r="AD191" s="132">
        <v>0</v>
      </c>
      <c r="AE191" s="132">
        <v>0</v>
      </c>
      <c r="AF191" s="132">
        <v>0</v>
      </c>
      <c r="AG191" s="132">
        <v>0</v>
      </c>
      <c r="AH191" s="132"/>
      <c r="AI191" s="111">
        <v>45000</v>
      </c>
      <c r="AJ191" s="134">
        <f t="shared" si="30"/>
        <v>45000</v>
      </c>
      <c r="AK191" s="134">
        <f t="shared" si="25"/>
        <v>0</v>
      </c>
      <c r="AL191" s="142"/>
      <c r="AM191" s="135">
        <v>45000</v>
      </c>
      <c r="AN191" s="135">
        <v>0</v>
      </c>
      <c r="AO191" s="135">
        <v>0</v>
      </c>
      <c r="AP191" s="135"/>
      <c r="AQ191" s="135">
        <v>0</v>
      </c>
      <c r="AR191" s="135">
        <v>0</v>
      </c>
      <c r="AS191" s="116">
        <v>45000</v>
      </c>
      <c r="AT191" s="134">
        <f t="shared" si="33"/>
        <v>45000</v>
      </c>
      <c r="AU191" s="134">
        <f t="shared" si="26"/>
        <v>0</v>
      </c>
      <c r="AV191" s="142"/>
      <c r="AW191" s="135"/>
      <c r="AX191" s="135"/>
      <c r="AY191" s="135"/>
      <c r="AZ191" s="135"/>
      <c r="BA191" s="135"/>
      <c r="BB191" s="116"/>
      <c r="BC191" s="113"/>
      <c r="BD191" s="116"/>
      <c r="BE191" s="113"/>
      <c r="BF191" s="116"/>
      <c r="BG191" s="116"/>
      <c r="BH191" s="137">
        <f t="shared" si="27"/>
        <v>135000</v>
      </c>
      <c r="BI191" s="138">
        <f t="shared" si="28"/>
        <v>0</v>
      </c>
      <c r="BJ191" s="126"/>
      <c r="BK191" s="91"/>
    </row>
    <row r="192" spans="1:63" ht="15.75">
      <c r="A192" s="123">
        <v>501343</v>
      </c>
      <c r="B192" s="126">
        <v>208750</v>
      </c>
      <c r="C192" s="124" t="s">
        <v>1115</v>
      </c>
      <c r="D192" s="124" t="s">
        <v>1116</v>
      </c>
      <c r="E192" s="125" t="s">
        <v>1114</v>
      </c>
      <c r="F192" s="124" t="s">
        <v>335</v>
      </c>
      <c r="G192" s="127" t="s">
        <v>53</v>
      </c>
      <c r="H192" s="126" t="s">
        <v>628</v>
      </c>
      <c r="I192" s="126" t="s">
        <v>609</v>
      </c>
      <c r="J192" s="126" t="s">
        <v>610</v>
      </c>
      <c r="K192" s="128" t="s">
        <v>611</v>
      </c>
      <c r="L192" s="121" t="s">
        <v>515</v>
      </c>
      <c r="M192" s="123" t="s">
        <v>1054</v>
      </c>
      <c r="N192" s="129">
        <v>42614</v>
      </c>
      <c r="O192" s="129">
        <v>43708</v>
      </c>
      <c r="P192" s="129">
        <v>43708</v>
      </c>
      <c r="Q192" s="130">
        <v>185175</v>
      </c>
      <c r="R192" s="113"/>
      <c r="S192" s="132">
        <v>20000</v>
      </c>
      <c r="T192" s="132">
        <v>0</v>
      </c>
      <c r="U192" s="132">
        <v>34000</v>
      </c>
      <c r="V192" s="132"/>
      <c r="W192" s="132">
        <v>7725</v>
      </c>
      <c r="X192" s="132">
        <v>0</v>
      </c>
      <c r="Y192" s="111">
        <v>61725</v>
      </c>
      <c r="Z192" s="133">
        <f t="shared" si="34"/>
        <v>61725</v>
      </c>
      <c r="AA192" s="133">
        <f t="shared" si="35"/>
        <v>0</v>
      </c>
      <c r="AB192" s="141"/>
      <c r="AC192" s="132">
        <v>20000</v>
      </c>
      <c r="AD192" s="132">
        <v>0</v>
      </c>
      <c r="AE192" s="132">
        <v>34000</v>
      </c>
      <c r="AF192" s="132">
        <v>7725</v>
      </c>
      <c r="AG192" s="132">
        <v>0</v>
      </c>
      <c r="AH192" s="132"/>
      <c r="AI192" s="111">
        <v>61725</v>
      </c>
      <c r="AJ192" s="134">
        <f t="shared" si="30"/>
        <v>61725</v>
      </c>
      <c r="AK192" s="134">
        <f t="shared" si="25"/>
        <v>0</v>
      </c>
      <c r="AL192" s="142"/>
      <c r="AM192" s="135">
        <v>20000</v>
      </c>
      <c r="AN192" s="135">
        <v>0</v>
      </c>
      <c r="AO192" s="135">
        <v>34000</v>
      </c>
      <c r="AP192" s="135"/>
      <c r="AQ192" s="135">
        <v>7725</v>
      </c>
      <c r="AR192" s="135">
        <v>0</v>
      </c>
      <c r="AS192" s="116">
        <v>61725</v>
      </c>
      <c r="AT192" s="134">
        <f t="shared" si="33"/>
        <v>61725</v>
      </c>
      <c r="AU192" s="134">
        <f t="shared" si="26"/>
        <v>0</v>
      </c>
      <c r="AV192" s="142"/>
      <c r="AW192" s="135"/>
      <c r="AX192" s="135"/>
      <c r="AY192" s="135"/>
      <c r="AZ192" s="135"/>
      <c r="BA192" s="135"/>
      <c r="BB192" s="116"/>
      <c r="BC192" s="113"/>
      <c r="BD192" s="116"/>
      <c r="BE192" s="113"/>
      <c r="BF192" s="116"/>
      <c r="BG192" s="116"/>
      <c r="BH192" s="137">
        <f t="shared" si="27"/>
        <v>185175</v>
      </c>
      <c r="BI192" s="138">
        <f t="shared" si="28"/>
        <v>0</v>
      </c>
      <c r="BJ192" s="126"/>
      <c r="BK192" s="91"/>
    </row>
    <row r="193" spans="1:63" ht="15.75">
      <c r="A193" s="123">
        <v>507779</v>
      </c>
      <c r="B193" s="126">
        <v>208750</v>
      </c>
      <c r="C193" s="124" t="s">
        <v>1115</v>
      </c>
      <c r="D193" s="124" t="s">
        <v>1116</v>
      </c>
      <c r="E193" s="125" t="s">
        <v>1114</v>
      </c>
      <c r="F193" s="124" t="s">
        <v>335</v>
      </c>
      <c r="G193" s="127" t="s">
        <v>53</v>
      </c>
      <c r="H193" s="126" t="s">
        <v>628</v>
      </c>
      <c r="I193" s="126" t="s">
        <v>609</v>
      </c>
      <c r="J193" s="126" t="s">
        <v>610</v>
      </c>
      <c r="K193" s="128" t="s">
        <v>611</v>
      </c>
      <c r="L193" s="121" t="s">
        <v>519</v>
      </c>
      <c r="M193" s="123" t="s">
        <v>641</v>
      </c>
      <c r="N193" s="129">
        <v>43709</v>
      </c>
      <c r="O193" s="129">
        <v>44530</v>
      </c>
      <c r="P193" s="129">
        <v>44530</v>
      </c>
      <c r="Q193" s="130">
        <f>70000+70000</f>
        <v>140000</v>
      </c>
      <c r="R193" s="113"/>
      <c r="S193" s="132">
        <v>20000</v>
      </c>
      <c r="T193" s="132">
        <v>0</v>
      </c>
      <c r="U193" s="132">
        <v>40000</v>
      </c>
      <c r="V193" s="132"/>
      <c r="W193" s="132">
        <v>10000</v>
      </c>
      <c r="X193" s="132"/>
      <c r="Y193" s="111">
        <v>70000</v>
      </c>
      <c r="Z193" s="133">
        <f t="shared" si="34"/>
        <v>70000</v>
      </c>
      <c r="AA193" s="133">
        <f t="shared" si="35"/>
        <v>0</v>
      </c>
      <c r="AB193" s="141"/>
      <c r="AC193" s="132">
        <v>20000</v>
      </c>
      <c r="AD193" s="132">
        <v>0</v>
      </c>
      <c r="AE193" s="132">
        <v>40000</v>
      </c>
      <c r="AF193" s="132">
        <v>0</v>
      </c>
      <c r="AG193" s="132">
        <v>10000</v>
      </c>
      <c r="AH193" s="132">
        <v>0</v>
      </c>
      <c r="AI193" s="111">
        <v>70000</v>
      </c>
      <c r="AJ193" s="134">
        <f t="shared" si="30"/>
        <v>70000</v>
      </c>
      <c r="AK193" s="134">
        <f t="shared" si="25"/>
        <v>0</v>
      </c>
      <c r="AL193" s="142"/>
      <c r="AM193" s="132">
        <v>20000</v>
      </c>
      <c r="AN193" s="132">
        <v>0</v>
      </c>
      <c r="AO193" s="132">
        <v>40000</v>
      </c>
      <c r="AP193" s="132">
        <v>0</v>
      </c>
      <c r="AQ193" s="132">
        <v>10000</v>
      </c>
      <c r="AR193" s="132">
        <v>0</v>
      </c>
      <c r="AS193" s="116">
        <f>SUM(AM193:AR193)</f>
        <v>70000</v>
      </c>
      <c r="AT193" s="134">
        <f t="shared" si="33"/>
        <v>70000</v>
      </c>
      <c r="AU193" s="134">
        <f t="shared" si="26"/>
        <v>0</v>
      </c>
      <c r="AV193" s="142"/>
      <c r="AW193" s="135"/>
      <c r="AX193" s="135"/>
      <c r="AY193" s="135"/>
      <c r="AZ193" s="135"/>
      <c r="BA193" s="135"/>
      <c r="BB193" s="116"/>
      <c r="BC193" s="113"/>
      <c r="BD193" s="116"/>
      <c r="BE193" s="113"/>
      <c r="BF193" s="116"/>
      <c r="BG193" s="116"/>
      <c r="BH193" s="137">
        <f t="shared" si="27"/>
        <v>210000</v>
      </c>
      <c r="BI193" s="138">
        <f t="shared" si="28"/>
        <v>70000</v>
      </c>
      <c r="BJ193" s="126"/>
      <c r="BK193" s="91"/>
    </row>
    <row r="194" spans="1:63" ht="15.75">
      <c r="A194" s="123">
        <v>501344</v>
      </c>
      <c r="B194" s="126">
        <v>208807</v>
      </c>
      <c r="C194" s="121" t="s">
        <v>1119</v>
      </c>
      <c r="D194" s="121" t="s">
        <v>1120</v>
      </c>
      <c r="E194" s="125" t="s">
        <v>1117</v>
      </c>
      <c r="F194" s="124" t="s">
        <v>1118</v>
      </c>
      <c r="G194" s="127" t="s">
        <v>68</v>
      </c>
      <c r="H194" s="123" t="s">
        <v>628</v>
      </c>
      <c r="I194" s="126" t="s">
        <v>598</v>
      </c>
      <c r="J194" s="126" t="s">
        <v>672</v>
      </c>
      <c r="K194" s="128" t="s">
        <v>673</v>
      </c>
      <c r="L194" s="121" t="s">
        <v>515</v>
      </c>
      <c r="M194" s="143" t="s">
        <v>667</v>
      </c>
      <c r="N194" s="129">
        <v>42614</v>
      </c>
      <c r="O194" s="129">
        <v>43708</v>
      </c>
      <c r="P194" s="129">
        <v>43708</v>
      </c>
      <c r="Q194" s="144">
        <v>225000</v>
      </c>
      <c r="R194" s="150"/>
      <c r="S194" s="132">
        <v>47943</v>
      </c>
      <c r="T194" s="132">
        <v>0</v>
      </c>
      <c r="U194" s="132">
        <v>27057</v>
      </c>
      <c r="V194" s="132"/>
      <c r="W194" s="132">
        <v>0</v>
      </c>
      <c r="X194" s="132">
        <v>0</v>
      </c>
      <c r="Y194" s="111">
        <v>75000</v>
      </c>
      <c r="Z194" s="133">
        <f t="shared" si="34"/>
        <v>75000</v>
      </c>
      <c r="AA194" s="133">
        <f t="shared" si="35"/>
        <v>0</v>
      </c>
      <c r="AB194" s="141"/>
      <c r="AC194" s="132">
        <v>48607</v>
      </c>
      <c r="AD194" s="132">
        <v>0</v>
      </c>
      <c r="AE194" s="132">
        <v>26393</v>
      </c>
      <c r="AF194" s="132">
        <v>0</v>
      </c>
      <c r="AG194" s="132">
        <v>0</v>
      </c>
      <c r="AH194" s="132"/>
      <c r="AI194" s="111">
        <v>75000</v>
      </c>
      <c r="AJ194" s="134">
        <f t="shared" si="30"/>
        <v>75000</v>
      </c>
      <c r="AK194" s="134">
        <f t="shared" ref="AK194:AK257" si="36">AJ194-AI194</f>
        <v>0</v>
      </c>
      <c r="AL194" s="142"/>
      <c r="AM194" s="135">
        <v>49350</v>
      </c>
      <c r="AN194" s="135">
        <v>0</v>
      </c>
      <c r="AO194" s="135">
        <v>25650</v>
      </c>
      <c r="AP194" s="135"/>
      <c r="AQ194" s="135">
        <v>0</v>
      </c>
      <c r="AR194" s="135">
        <v>0</v>
      </c>
      <c r="AS194" s="116">
        <v>75000</v>
      </c>
      <c r="AT194" s="134">
        <f t="shared" si="33"/>
        <v>75000</v>
      </c>
      <c r="AU194" s="134">
        <f t="shared" ref="AU194:AU257" si="37">AT194-AS194</f>
        <v>0</v>
      </c>
      <c r="AV194" s="142"/>
      <c r="AW194" s="135"/>
      <c r="AX194" s="135"/>
      <c r="AY194" s="135"/>
      <c r="AZ194" s="135"/>
      <c r="BA194" s="135"/>
      <c r="BB194" s="116"/>
      <c r="BC194" s="113"/>
      <c r="BD194" s="116"/>
      <c r="BE194" s="113"/>
      <c r="BF194" s="116"/>
      <c r="BG194" s="116"/>
      <c r="BH194" s="137">
        <f t="shared" ref="BH194:BH257" si="38">SUM(AS194,AI194,Y194,BB194,BD194,BF194,BG194)</f>
        <v>225000</v>
      </c>
      <c r="BI194" s="138">
        <f t="shared" ref="BI194:BI257" si="39">BH194-Q194</f>
        <v>0</v>
      </c>
      <c r="BJ194" s="147"/>
      <c r="BK194" s="91"/>
    </row>
    <row r="195" spans="1:63" ht="15.75">
      <c r="A195" s="123">
        <v>501334</v>
      </c>
      <c r="B195" s="126">
        <v>208808</v>
      </c>
      <c r="C195" s="121" t="s">
        <v>1123</v>
      </c>
      <c r="D195" s="121" t="s">
        <v>1124</v>
      </c>
      <c r="E195" s="125" t="s">
        <v>1122</v>
      </c>
      <c r="F195" s="124" t="s">
        <v>308</v>
      </c>
      <c r="G195" s="127" t="s">
        <v>53</v>
      </c>
      <c r="H195" s="123" t="s">
        <v>628</v>
      </c>
      <c r="I195" s="126" t="s">
        <v>598</v>
      </c>
      <c r="J195" s="126" t="s">
        <v>730</v>
      </c>
      <c r="K195" s="128" t="s">
        <v>735</v>
      </c>
      <c r="L195" s="121" t="s">
        <v>515</v>
      </c>
      <c r="M195" s="123" t="s">
        <v>840</v>
      </c>
      <c r="N195" s="129">
        <v>42614</v>
      </c>
      <c r="O195" s="129">
        <v>43708</v>
      </c>
      <c r="P195" s="129">
        <v>44144</v>
      </c>
      <c r="Q195" s="144">
        <v>492375</v>
      </c>
      <c r="R195" s="150"/>
      <c r="S195" s="132">
        <v>78000</v>
      </c>
      <c r="T195" s="132">
        <v>0</v>
      </c>
      <c r="U195" s="132">
        <v>86125</v>
      </c>
      <c r="V195" s="132"/>
      <c r="W195" s="132">
        <v>0</v>
      </c>
      <c r="X195" s="132">
        <v>0</v>
      </c>
      <c r="Y195" s="111">
        <v>164125</v>
      </c>
      <c r="Z195" s="133">
        <f t="shared" si="34"/>
        <v>164125</v>
      </c>
      <c r="AA195" s="133">
        <f t="shared" si="35"/>
        <v>0</v>
      </c>
      <c r="AB195" s="141"/>
      <c r="AC195" s="132">
        <v>78000</v>
      </c>
      <c r="AD195" s="132">
        <v>0</v>
      </c>
      <c r="AE195" s="132">
        <v>86125</v>
      </c>
      <c r="AF195" s="132">
        <v>0</v>
      </c>
      <c r="AG195" s="132">
        <v>0</v>
      </c>
      <c r="AH195" s="132"/>
      <c r="AI195" s="111">
        <v>164125</v>
      </c>
      <c r="AJ195" s="134">
        <f t="shared" si="30"/>
        <v>164125</v>
      </c>
      <c r="AK195" s="134">
        <f t="shared" si="36"/>
        <v>0</v>
      </c>
      <c r="AL195" s="142"/>
      <c r="AM195" s="135">
        <v>78000</v>
      </c>
      <c r="AN195" s="135">
        <v>0</v>
      </c>
      <c r="AO195" s="135">
        <v>86125</v>
      </c>
      <c r="AP195" s="135"/>
      <c r="AQ195" s="135">
        <v>0</v>
      </c>
      <c r="AR195" s="135">
        <v>0</v>
      </c>
      <c r="AS195" s="116">
        <v>164125</v>
      </c>
      <c r="AT195" s="134">
        <f t="shared" si="33"/>
        <v>164125</v>
      </c>
      <c r="AU195" s="134">
        <f t="shared" si="37"/>
        <v>0</v>
      </c>
      <c r="AV195" s="142"/>
      <c r="AW195" s="135"/>
      <c r="AX195" s="135"/>
      <c r="AY195" s="135"/>
      <c r="AZ195" s="135"/>
      <c r="BA195" s="135"/>
      <c r="BB195" s="116"/>
      <c r="BC195" s="113"/>
      <c r="BD195" s="116"/>
      <c r="BE195" s="113"/>
      <c r="BF195" s="116"/>
      <c r="BG195" s="116"/>
      <c r="BH195" s="137">
        <f t="shared" si="38"/>
        <v>492375</v>
      </c>
      <c r="BI195" s="138">
        <f t="shared" si="39"/>
        <v>0</v>
      </c>
      <c r="BJ195" s="147"/>
      <c r="BK195" s="91"/>
    </row>
    <row r="196" spans="1:63" ht="15.75">
      <c r="A196" s="123">
        <v>507776</v>
      </c>
      <c r="B196" s="126">
        <v>208808</v>
      </c>
      <c r="C196" s="124" t="s">
        <v>1123</v>
      </c>
      <c r="D196" s="124" t="s">
        <v>1124</v>
      </c>
      <c r="E196" s="124" t="s">
        <v>1122</v>
      </c>
      <c r="F196" s="124" t="s">
        <v>308</v>
      </c>
      <c r="G196" s="127" t="s">
        <v>53</v>
      </c>
      <c r="H196" s="126" t="s">
        <v>628</v>
      </c>
      <c r="I196" s="126" t="s">
        <v>598</v>
      </c>
      <c r="J196" s="126" t="s">
        <v>730</v>
      </c>
      <c r="K196" s="128" t="s">
        <v>735</v>
      </c>
      <c r="L196" s="121" t="s">
        <v>519</v>
      </c>
      <c r="M196" s="123" t="s">
        <v>1080</v>
      </c>
      <c r="N196" s="129">
        <v>43709</v>
      </c>
      <c r="O196" s="129">
        <v>44530</v>
      </c>
      <c r="P196" s="129">
        <v>44530</v>
      </c>
      <c r="Q196" s="130">
        <f>22400+47600+70000</f>
        <v>140000</v>
      </c>
      <c r="R196" s="113"/>
      <c r="S196" s="132">
        <v>45000</v>
      </c>
      <c r="T196" s="132">
        <v>0</v>
      </c>
      <c r="U196" s="132">
        <v>20000</v>
      </c>
      <c r="V196" s="132">
        <v>0</v>
      </c>
      <c r="W196" s="132">
        <v>5000</v>
      </c>
      <c r="X196" s="132">
        <v>0</v>
      </c>
      <c r="Y196" s="111">
        <v>70000</v>
      </c>
      <c r="Z196" s="133">
        <f t="shared" si="34"/>
        <v>70000</v>
      </c>
      <c r="AA196" s="133">
        <f t="shared" si="35"/>
        <v>0</v>
      </c>
      <c r="AB196" s="141"/>
      <c r="AC196" s="132">
        <v>45000</v>
      </c>
      <c r="AD196" s="132">
        <v>0</v>
      </c>
      <c r="AE196" s="132">
        <v>20000</v>
      </c>
      <c r="AF196" s="132">
        <v>0</v>
      </c>
      <c r="AG196" s="132">
        <v>5000</v>
      </c>
      <c r="AH196" s="132">
        <v>0</v>
      </c>
      <c r="AI196" s="111">
        <v>70000</v>
      </c>
      <c r="AJ196" s="134">
        <f t="shared" si="30"/>
        <v>70000</v>
      </c>
      <c r="AK196" s="134">
        <f t="shared" si="36"/>
        <v>0</v>
      </c>
      <c r="AL196" s="142"/>
      <c r="AM196" s="132">
        <v>45000</v>
      </c>
      <c r="AN196" s="132">
        <v>0</v>
      </c>
      <c r="AO196" s="132">
        <v>20000</v>
      </c>
      <c r="AP196" s="132">
        <v>0</v>
      </c>
      <c r="AQ196" s="132">
        <v>5000</v>
      </c>
      <c r="AR196" s="132">
        <v>0</v>
      </c>
      <c r="AS196" s="116">
        <f>SUM(AM196:AR196)</f>
        <v>70000</v>
      </c>
      <c r="AT196" s="134">
        <f t="shared" si="33"/>
        <v>70000</v>
      </c>
      <c r="AU196" s="134">
        <f t="shared" si="37"/>
        <v>0</v>
      </c>
      <c r="AV196" s="142"/>
      <c r="AW196" s="135"/>
      <c r="AX196" s="135"/>
      <c r="AY196" s="135"/>
      <c r="AZ196" s="135"/>
      <c r="BA196" s="135"/>
      <c r="BB196" s="116"/>
      <c r="BC196" s="113"/>
      <c r="BD196" s="116"/>
      <c r="BE196" s="113"/>
      <c r="BF196" s="116"/>
      <c r="BG196" s="116"/>
      <c r="BH196" s="137">
        <f t="shared" si="38"/>
        <v>210000</v>
      </c>
      <c r="BI196" s="138">
        <f t="shared" si="39"/>
        <v>70000</v>
      </c>
      <c r="BJ196" s="126"/>
      <c r="BK196" s="91"/>
    </row>
    <row r="197" spans="1:63" ht="15.75">
      <c r="A197" s="123">
        <v>501333</v>
      </c>
      <c r="B197" s="126">
        <v>208809</v>
      </c>
      <c r="C197" s="124" t="s">
        <v>1127</v>
      </c>
      <c r="D197" s="124" t="s">
        <v>1128</v>
      </c>
      <c r="E197" s="125" t="s">
        <v>1125</v>
      </c>
      <c r="F197" s="124" t="s">
        <v>1126</v>
      </c>
      <c r="G197" s="127" t="s">
        <v>53</v>
      </c>
      <c r="H197" s="126" t="s">
        <v>628</v>
      </c>
      <c r="I197" s="126" t="s">
        <v>598</v>
      </c>
      <c r="J197" s="126" t="s">
        <v>730</v>
      </c>
      <c r="K197" s="128" t="s">
        <v>735</v>
      </c>
      <c r="L197" s="121" t="s">
        <v>515</v>
      </c>
      <c r="M197" s="123" t="s">
        <v>797</v>
      </c>
      <c r="N197" s="129">
        <v>42614</v>
      </c>
      <c r="O197" s="129">
        <v>43830</v>
      </c>
      <c r="P197" s="129">
        <v>44144</v>
      </c>
      <c r="Q197" s="130">
        <v>423491</v>
      </c>
      <c r="R197" s="113"/>
      <c r="S197" s="132">
        <v>60000</v>
      </c>
      <c r="T197" s="132">
        <v>0</v>
      </c>
      <c r="U197" s="132">
        <v>15000</v>
      </c>
      <c r="V197" s="132"/>
      <c r="W197" s="132">
        <v>60000</v>
      </c>
      <c r="X197" s="132">
        <v>0</v>
      </c>
      <c r="Y197" s="111">
        <v>135000</v>
      </c>
      <c r="Z197" s="133">
        <f t="shared" si="34"/>
        <v>135000</v>
      </c>
      <c r="AA197" s="133">
        <f t="shared" si="35"/>
        <v>0</v>
      </c>
      <c r="AB197" s="141"/>
      <c r="AC197" s="132">
        <v>60000</v>
      </c>
      <c r="AD197" s="132">
        <v>0</v>
      </c>
      <c r="AE197" s="132">
        <v>15000</v>
      </c>
      <c r="AF197" s="132"/>
      <c r="AG197" s="132">
        <v>70000</v>
      </c>
      <c r="AH197" s="132"/>
      <c r="AI197" s="111">
        <v>145000</v>
      </c>
      <c r="AJ197" s="134">
        <f t="shared" si="30"/>
        <v>145000</v>
      </c>
      <c r="AK197" s="134">
        <f t="shared" si="36"/>
        <v>0</v>
      </c>
      <c r="AL197" s="142"/>
      <c r="AM197" s="135">
        <v>60000</v>
      </c>
      <c r="AN197" s="135">
        <v>0</v>
      </c>
      <c r="AO197" s="135">
        <v>15000</v>
      </c>
      <c r="AP197" s="135"/>
      <c r="AQ197" s="135">
        <v>68491</v>
      </c>
      <c r="AR197" s="135">
        <v>0</v>
      </c>
      <c r="AS197" s="116">
        <v>143491</v>
      </c>
      <c r="AT197" s="134">
        <f t="shared" si="33"/>
        <v>143491</v>
      </c>
      <c r="AU197" s="134">
        <f t="shared" si="37"/>
        <v>0</v>
      </c>
      <c r="AV197" s="142"/>
      <c r="AW197" s="135"/>
      <c r="AX197" s="135"/>
      <c r="AY197" s="135"/>
      <c r="AZ197" s="135"/>
      <c r="BA197" s="135"/>
      <c r="BB197" s="116"/>
      <c r="BC197" s="113"/>
      <c r="BD197" s="116"/>
      <c r="BE197" s="113"/>
      <c r="BF197" s="116"/>
      <c r="BG197" s="116"/>
      <c r="BH197" s="137">
        <f t="shared" si="38"/>
        <v>423491</v>
      </c>
      <c r="BI197" s="138">
        <f t="shared" si="39"/>
        <v>0</v>
      </c>
      <c r="BJ197" s="126"/>
      <c r="BK197" s="91"/>
    </row>
    <row r="198" spans="1:63" ht="15.75">
      <c r="A198" s="123">
        <v>501345</v>
      </c>
      <c r="B198" s="126">
        <v>208810</v>
      </c>
      <c r="C198" s="179" t="s">
        <v>1130</v>
      </c>
      <c r="D198" s="124" t="s">
        <v>1131</v>
      </c>
      <c r="E198" s="125" t="s">
        <v>1129</v>
      </c>
      <c r="F198" s="124" t="s">
        <v>194</v>
      </c>
      <c r="G198" s="127" t="s">
        <v>53</v>
      </c>
      <c r="H198" s="126" t="s">
        <v>628</v>
      </c>
      <c r="I198" s="126" t="s">
        <v>598</v>
      </c>
      <c r="J198" s="126" t="s">
        <v>1050</v>
      </c>
      <c r="K198" s="128" t="s">
        <v>1051</v>
      </c>
      <c r="L198" s="121" t="s">
        <v>515</v>
      </c>
      <c r="M198" s="123" t="s">
        <v>714</v>
      </c>
      <c r="N198" s="129">
        <v>42614</v>
      </c>
      <c r="O198" s="129">
        <v>43890</v>
      </c>
      <c r="P198" s="129">
        <v>44145</v>
      </c>
      <c r="Q198" s="130">
        <v>581669</v>
      </c>
      <c r="R198" s="113"/>
      <c r="S198" s="132">
        <v>90000</v>
      </c>
      <c r="T198" s="132">
        <v>0</v>
      </c>
      <c r="U198" s="132">
        <v>90315</v>
      </c>
      <c r="V198" s="132"/>
      <c r="W198" s="132">
        <v>32800</v>
      </c>
      <c r="X198" s="132">
        <v>0</v>
      </c>
      <c r="Y198" s="111">
        <v>213115</v>
      </c>
      <c r="Z198" s="133">
        <f t="shared" si="34"/>
        <v>213115</v>
      </c>
      <c r="AA198" s="133">
        <f t="shared" si="35"/>
        <v>0</v>
      </c>
      <c r="AB198" s="141"/>
      <c r="AC198" s="132">
        <v>80000</v>
      </c>
      <c r="AD198" s="132">
        <v>0</v>
      </c>
      <c r="AE198" s="132">
        <v>70192</v>
      </c>
      <c r="AF198" s="132">
        <v>26660</v>
      </c>
      <c r="AG198" s="132">
        <v>0</v>
      </c>
      <c r="AH198" s="132"/>
      <c r="AI198" s="111">
        <v>176852</v>
      </c>
      <c r="AJ198" s="134">
        <f t="shared" si="30"/>
        <v>176852</v>
      </c>
      <c r="AK198" s="134">
        <f t="shared" si="36"/>
        <v>0</v>
      </c>
      <c r="AL198" s="142"/>
      <c r="AM198" s="135">
        <v>90000</v>
      </c>
      <c r="AN198" s="135">
        <v>0</v>
      </c>
      <c r="AO198" s="135">
        <v>75042</v>
      </c>
      <c r="AP198" s="135"/>
      <c r="AQ198" s="135">
        <v>26660</v>
      </c>
      <c r="AR198" s="135">
        <v>0</v>
      </c>
      <c r="AS198" s="116">
        <v>191702</v>
      </c>
      <c r="AT198" s="134">
        <f t="shared" si="33"/>
        <v>191702</v>
      </c>
      <c r="AU198" s="134">
        <f t="shared" si="37"/>
        <v>0</v>
      </c>
      <c r="AV198" s="142"/>
      <c r="AW198" s="135"/>
      <c r="AX198" s="135"/>
      <c r="AY198" s="135"/>
      <c r="AZ198" s="135"/>
      <c r="BA198" s="135"/>
      <c r="BB198" s="116"/>
      <c r="BC198" s="113"/>
      <c r="BD198" s="116"/>
      <c r="BE198" s="113"/>
      <c r="BF198" s="116"/>
      <c r="BG198" s="116"/>
      <c r="BH198" s="137">
        <f t="shared" si="38"/>
        <v>581669</v>
      </c>
      <c r="BI198" s="138">
        <f t="shared" si="39"/>
        <v>0</v>
      </c>
      <c r="BJ198" s="126"/>
      <c r="BK198" s="91"/>
    </row>
    <row r="199" spans="1:63" ht="15.75">
      <c r="A199" s="123">
        <v>502319</v>
      </c>
      <c r="B199" s="126">
        <v>208810</v>
      </c>
      <c r="C199" s="124" t="s">
        <v>1130</v>
      </c>
      <c r="D199" s="124" t="s">
        <v>1131</v>
      </c>
      <c r="E199" s="125" t="s">
        <v>1129</v>
      </c>
      <c r="F199" s="124" t="s">
        <v>194</v>
      </c>
      <c r="G199" s="127" t="s">
        <v>53</v>
      </c>
      <c r="H199" s="126" t="s">
        <v>597</v>
      </c>
      <c r="I199" s="126" t="s">
        <v>598</v>
      </c>
      <c r="J199" s="126" t="s">
        <v>1050</v>
      </c>
      <c r="K199" s="128" t="s">
        <v>1051</v>
      </c>
      <c r="L199" s="121" t="s">
        <v>1034</v>
      </c>
      <c r="M199" s="123" t="s">
        <v>1132</v>
      </c>
      <c r="N199" s="129">
        <v>42826</v>
      </c>
      <c r="O199" s="129">
        <v>43921</v>
      </c>
      <c r="P199" s="129">
        <v>43921</v>
      </c>
      <c r="Q199" s="130">
        <v>75000</v>
      </c>
      <c r="R199" s="113"/>
      <c r="S199" s="132">
        <v>25000</v>
      </c>
      <c r="T199" s="132">
        <v>0</v>
      </c>
      <c r="U199" s="132">
        <v>0</v>
      </c>
      <c r="V199" s="132"/>
      <c r="W199" s="132">
        <v>0</v>
      </c>
      <c r="X199" s="132">
        <v>0</v>
      </c>
      <c r="Y199" s="111">
        <v>25000</v>
      </c>
      <c r="Z199" s="133">
        <f t="shared" si="34"/>
        <v>25000</v>
      </c>
      <c r="AA199" s="133">
        <f t="shared" si="35"/>
        <v>0</v>
      </c>
      <c r="AB199" s="141"/>
      <c r="AC199" s="132">
        <v>25000</v>
      </c>
      <c r="AD199" s="132">
        <v>0</v>
      </c>
      <c r="AE199" s="132">
        <v>0</v>
      </c>
      <c r="AF199" s="132">
        <v>0</v>
      </c>
      <c r="AG199" s="132">
        <v>0</v>
      </c>
      <c r="AH199" s="132"/>
      <c r="AI199" s="111">
        <v>25000</v>
      </c>
      <c r="AJ199" s="134">
        <f t="shared" si="30"/>
        <v>25000</v>
      </c>
      <c r="AK199" s="134">
        <f t="shared" si="36"/>
        <v>0</v>
      </c>
      <c r="AL199" s="142"/>
      <c r="AM199" s="132">
        <v>25000</v>
      </c>
      <c r="AN199" s="132">
        <v>0</v>
      </c>
      <c r="AO199" s="132">
        <v>0</v>
      </c>
      <c r="AP199" s="132">
        <v>0</v>
      </c>
      <c r="AQ199" s="132">
        <v>0</v>
      </c>
      <c r="AR199" s="135">
        <v>0</v>
      </c>
      <c r="AS199" s="116">
        <f>SUM(AM199:AR199)</f>
        <v>25000</v>
      </c>
      <c r="AT199" s="134">
        <f t="shared" si="33"/>
        <v>25000</v>
      </c>
      <c r="AU199" s="134">
        <f t="shared" si="37"/>
        <v>0</v>
      </c>
      <c r="AV199" s="142"/>
      <c r="AW199" s="135" t="s">
        <v>602</v>
      </c>
      <c r="AX199" s="135" t="s">
        <v>602</v>
      </c>
      <c r="AY199" s="135" t="s">
        <v>602</v>
      </c>
      <c r="AZ199" s="135" t="s">
        <v>602</v>
      </c>
      <c r="BA199" s="135" t="s">
        <v>602</v>
      </c>
      <c r="BB199" s="116"/>
      <c r="BC199" s="113"/>
      <c r="BD199" s="116"/>
      <c r="BE199" s="113"/>
      <c r="BF199" s="116"/>
      <c r="BG199" s="116"/>
      <c r="BH199" s="137">
        <f t="shared" si="38"/>
        <v>75000</v>
      </c>
      <c r="BI199" s="138">
        <f t="shared" si="39"/>
        <v>0</v>
      </c>
      <c r="BJ199" s="147" t="s">
        <v>1035</v>
      </c>
      <c r="BK199" s="91"/>
    </row>
    <row r="200" spans="1:63" ht="15.75">
      <c r="A200" s="123">
        <v>507643</v>
      </c>
      <c r="B200" s="126">
        <v>208810</v>
      </c>
      <c r="C200" s="124" t="s">
        <v>1130</v>
      </c>
      <c r="D200" s="124" t="s">
        <v>1131</v>
      </c>
      <c r="E200" s="125" t="s">
        <v>1129</v>
      </c>
      <c r="F200" s="124" t="s">
        <v>194</v>
      </c>
      <c r="G200" s="127" t="s">
        <v>53</v>
      </c>
      <c r="H200" s="126" t="s">
        <v>628</v>
      </c>
      <c r="I200" s="126" t="s">
        <v>598</v>
      </c>
      <c r="J200" s="126" t="s">
        <v>1050</v>
      </c>
      <c r="K200" s="128" t="s">
        <v>1051</v>
      </c>
      <c r="L200" s="121" t="s">
        <v>519</v>
      </c>
      <c r="M200" s="123" t="s">
        <v>716</v>
      </c>
      <c r="N200" s="129">
        <v>43709</v>
      </c>
      <c r="O200" s="129">
        <v>44530</v>
      </c>
      <c r="P200" s="129">
        <v>44530</v>
      </c>
      <c r="Q200" s="130">
        <f>100000+100000</f>
        <v>200000</v>
      </c>
      <c r="R200" s="113"/>
      <c r="S200" s="132">
        <v>37000</v>
      </c>
      <c r="T200" s="132"/>
      <c r="U200" s="132">
        <v>43000</v>
      </c>
      <c r="V200" s="132"/>
      <c r="W200" s="132">
        <v>20000</v>
      </c>
      <c r="X200" s="132"/>
      <c r="Y200" s="111">
        <v>100000</v>
      </c>
      <c r="Z200" s="133">
        <f t="shared" si="34"/>
        <v>100000</v>
      </c>
      <c r="AA200" s="133">
        <f t="shared" si="35"/>
        <v>0</v>
      </c>
      <c r="AB200" s="141"/>
      <c r="AC200" s="132">
        <v>37000</v>
      </c>
      <c r="AD200" s="132"/>
      <c r="AE200" s="132">
        <v>43000</v>
      </c>
      <c r="AF200" s="132">
        <v>0</v>
      </c>
      <c r="AG200" s="132">
        <v>20000</v>
      </c>
      <c r="AH200" s="132"/>
      <c r="AI200" s="111">
        <v>100000</v>
      </c>
      <c r="AJ200" s="134">
        <f t="shared" si="30"/>
        <v>100000</v>
      </c>
      <c r="AK200" s="134">
        <f t="shared" si="36"/>
        <v>0</v>
      </c>
      <c r="AL200" s="142"/>
      <c r="AM200" s="132">
        <v>37000</v>
      </c>
      <c r="AN200" s="132">
        <v>0</v>
      </c>
      <c r="AO200" s="132">
        <v>43000</v>
      </c>
      <c r="AP200" s="132">
        <v>0</v>
      </c>
      <c r="AQ200" s="132">
        <v>20000</v>
      </c>
      <c r="AR200" s="135">
        <v>0</v>
      </c>
      <c r="AS200" s="116">
        <f>SUM(AM200:AR200)</f>
        <v>100000</v>
      </c>
      <c r="AT200" s="134">
        <f t="shared" si="33"/>
        <v>100000</v>
      </c>
      <c r="AU200" s="134">
        <f t="shared" si="37"/>
        <v>0</v>
      </c>
      <c r="AV200" s="142"/>
      <c r="AW200" s="135"/>
      <c r="AX200" s="135"/>
      <c r="AY200" s="135"/>
      <c r="AZ200" s="135"/>
      <c r="BA200" s="135"/>
      <c r="BB200" s="116"/>
      <c r="BC200" s="113"/>
      <c r="BD200" s="116"/>
      <c r="BE200" s="113"/>
      <c r="BF200" s="116"/>
      <c r="BG200" s="116"/>
      <c r="BH200" s="137">
        <f t="shared" si="38"/>
        <v>300000</v>
      </c>
      <c r="BI200" s="138">
        <f t="shared" si="39"/>
        <v>100000</v>
      </c>
      <c r="BJ200" s="126"/>
      <c r="BK200" s="91"/>
    </row>
    <row r="201" spans="1:63" ht="15.75">
      <c r="A201" s="181">
        <v>509666</v>
      </c>
      <c r="B201" s="126">
        <v>208810</v>
      </c>
      <c r="C201" s="148" t="s">
        <v>1130</v>
      </c>
      <c r="D201" s="148" t="s">
        <v>1131</v>
      </c>
      <c r="E201" s="125" t="s">
        <v>1129</v>
      </c>
      <c r="F201" s="124" t="s">
        <v>194</v>
      </c>
      <c r="G201" s="127" t="s">
        <v>53</v>
      </c>
      <c r="H201" s="149" t="s">
        <v>628</v>
      </c>
      <c r="I201" s="126" t="s">
        <v>598</v>
      </c>
      <c r="J201" s="126" t="s">
        <v>1050</v>
      </c>
      <c r="K201" s="128" t="s">
        <v>1051</v>
      </c>
      <c r="L201" s="121" t="s">
        <v>19</v>
      </c>
      <c r="M201" s="123" t="s">
        <v>1018</v>
      </c>
      <c r="N201" s="129">
        <v>44044</v>
      </c>
      <c r="O201" s="129">
        <v>44408</v>
      </c>
      <c r="P201" s="129">
        <v>44408</v>
      </c>
      <c r="Q201" s="130">
        <v>23000</v>
      </c>
      <c r="R201" s="113"/>
      <c r="S201" s="132">
        <v>8000</v>
      </c>
      <c r="T201" s="132">
        <v>0</v>
      </c>
      <c r="U201" s="132">
        <v>7000</v>
      </c>
      <c r="V201" s="132">
        <v>0</v>
      </c>
      <c r="W201" s="132">
        <v>4000</v>
      </c>
      <c r="X201" s="132">
        <v>4000</v>
      </c>
      <c r="Y201" s="111">
        <v>23000</v>
      </c>
      <c r="Z201" s="133">
        <f t="shared" si="34"/>
        <v>23000</v>
      </c>
      <c r="AA201" s="133">
        <f t="shared" si="35"/>
        <v>0</v>
      </c>
      <c r="AB201" s="141"/>
      <c r="AC201" s="132">
        <v>16000</v>
      </c>
      <c r="AD201" s="132">
        <v>0</v>
      </c>
      <c r="AE201" s="132">
        <v>14000</v>
      </c>
      <c r="AF201" s="132"/>
      <c r="AG201" s="132">
        <v>4000</v>
      </c>
      <c r="AH201" s="132">
        <v>5000</v>
      </c>
      <c r="AI201" s="111">
        <v>39000</v>
      </c>
      <c r="AJ201" s="134">
        <f t="shared" si="30"/>
        <v>39000</v>
      </c>
      <c r="AK201" s="134">
        <f t="shared" si="36"/>
        <v>0</v>
      </c>
      <c r="AL201" s="142"/>
      <c r="AM201" s="132">
        <v>0</v>
      </c>
      <c r="AN201" s="132">
        <v>0</v>
      </c>
      <c r="AO201" s="132">
        <v>0</v>
      </c>
      <c r="AP201" s="132">
        <v>0</v>
      </c>
      <c r="AQ201" s="132">
        <v>0</v>
      </c>
      <c r="AR201" s="132">
        <v>0</v>
      </c>
      <c r="AS201" s="116">
        <v>0</v>
      </c>
      <c r="AT201" s="134">
        <f>SUM(AL201:AS201)</f>
        <v>0</v>
      </c>
      <c r="AU201" s="134">
        <f t="shared" si="37"/>
        <v>0</v>
      </c>
      <c r="AV201" s="142"/>
      <c r="AW201" s="135"/>
      <c r="AX201" s="135"/>
      <c r="AY201" s="135"/>
      <c r="AZ201" s="135"/>
      <c r="BA201" s="135"/>
      <c r="BB201" s="116"/>
      <c r="BC201" s="113"/>
      <c r="BD201" s="116"/>
      <c r="BE201" s="113"/>
      <c r="BF201" s="116"/>
      <c r="BG201" s="116"/>
      <c r="BH201" s="137">
        <f t="shared" si="38"/>
        <v>62000</v>
      </c>
      <c r="BI201" s="138">
        <f t="shared" si="39"/>
        <v>39000</v>
      </c>
      <c r="BJ201" s="126"/>
      <c r="BK201" s="91"/>
    </row>
    <row r="202" spans="1:63" ht="15.75">
      <c r="A202" s="123">
        <v>501349</v>
      </c>
      <c r="B202" s="126">
        <v>208811</v>
      </c>
      <c r="C202" s="124" t="s">
        <v>1135</v>
      </c>
      <c r="D202" s="124" t="s">
        <v>1136</v>
      </c>
      <c r="E202" s="125" t="s">
        <v>1133</v>
      </c>
      <c r="F202" s="124" t="s">
        <v>1134</v>
      </c>
      <c r="G202" s="127" t="s">
        <v>53</v>
      </c>
      <c r="H202" s="126" t="s">
        <v>628</v>
      </c>
      <c r="I202" s="126" t="s">
        <v>598</v>
      </c>
      <c r="J202" s="126" t="s">
        <v>635</v>
      </c>
      <c r="K202" s="128" t="s">
        <v>636</v>
      </c>
      <c r="L202" s="121" t="s">
        <v>515</v>
      </c>
      <c r="M202" s="123" t="s">
        <v>640</v>
      </c>
      <c r="N202" s="129">
        <v>42614</v>
      </c>
      <c r="O202" s="129">
        <v>43708</v>
      </c>
      <c r="P202" s="129">
        <v>43708</v>
      </c>
      <c r="Q202" s="130">
        <v>300000</v>
      </c>
      <c r="R202" s="113"/>
      <c r="S202" s="132">
        <v>40000</v>
      </c>
      <c r="T202" s="132">
        <v>0</v>
      </c>
      <c r="U202" s="132">
        <v>50000</v>
      </c>
      <c r="V202" s="132"/>
      <c r="W202" s="132">
        <v>10000</v>
      </c>
      <c r="X202" s="132">
        <v>0</v>
      </c>
      <c r="Y202" s="111">
        <v>100000</v>
      </c>
      <c r="Z202" s="133">
        <f t="shared" si="34"/>
        <v>100000</v>
      </c>
      <c r="AA202" s="133">
        <f t="shared" si="35"/>
        <v>0</v>
      </c>
      <c r="AB202" s="141"/>
      <c r="AC202" s="132">
        <v>40000</v>
      </c>
      <c r="AD202" s="132">
        <v>0</v>
      </c>
      <c r="AE202" s="132">
        <v>50000</v>
      </c>
      <c r="AF202" s="132">
        <v>10000</v>
      </c>
      <c r="AG202" s="132">
        <v>0</v>
      </c>
      <c r="AH202" s="132"/>
      <c r="AI202" s="111">
        <v>100000</v>
      </c>
      <c r="AJ202" s="134">
        <f t="shared" si="30"/>
        <v>100000</v>
      </c>
      <c r="AK202" s="134">
        <f t="shared" si="36"/>
        <v>0</v>
      </c>
      <c r="AL202" s="142"/>
      <c r="AM202" s="132">
        <v>40000</v>
      </c>
      <c r="AN202" s="132">
        <v>0</v>
      </c>
      <c r="AO202" s="132">
        <v>50000</v>
      </c>
      <c r="AP202" s="132">
        <v>0</v>
      </c>
      <c r="AQ202" s="132">
        <v>10000</v>
      </c>
      <c r="AR202" s="132">
        <v>0</v>
      </c>
      <c r="AS202" s="116">
        <v>100000</v>
      </c>
      <c r="AT202" s="134">
        <f t="shared" ref="AT202:AT226" si="40">SUM(AL202:AR202)</f>
        <v>100000</v>
      </c>
      <c r="AU202" s="134">
        <f t="shared" si="37"/>
        <v>0</v>
      </c>
      <c r="AV202" s="142"/>
      <c r="AW202" s="135"/>
      <c r="AX202" s="135"/>
      <c r="AY202" s="135"/>
      <c r="AZ202" s="135"/>
      <c r="BA202" s="135"/>
      <c r="BB202" s="116"/>
      <c r="BC202" s="113"/>
      <c r="BD202" s="116"/>
      <c r="BE202" s="113"/>
      <c r="BF202" s="116"/>
      <c r="BG202" s="116"/>
      <c r="BH202" s="137">
        <f t="shared" si="38"/>
        <v>300000</v>
      </c>
      <c r="BI202" s="138">
        <f t="shared" si="39"/>
        <v>0</v>
      </c>
      <c r="BJ202" s="126"/>
      <c r="BK202" s="91"/>
    </row>
    <row r="203" spans="1:63" ht="15.75">
      <c r="A203" s="123">
        <v>501338</v>
      </c>
      <c r="B203" s="126">
        <v>208815</v>
      </c>
      <c r="C203" s="121" t="s">
        <v>1138</v>
      </c>
      <c r="D203" s="121" t="s">
        <v>1139</v>
      </c>
      <c r="E203" s="125" t="s">
        <v>1137</v>
      </c>
      <c r="F203" s="124" t="s">
        <v>314</v>
      </c>
      <c r="G203" s="127" t="s">
        <v>53</v>
      </c>
      <c r="H203" s="123" t="s">
        <v>628</v>
      </c>
      <c r="I203" s="126" t="s">
        <v>598</v>
      </c>
      <c r="J203" s="126" t="s">
        <v>683</v>
      </c>
      <c r="K203" s="161" t="s">
        <v>684</v>
      </c>
      <c r="L203" s="121" t="s">
        <v>515</v>
      </c>
      <c r="M203" s="123" t="s">
        <v>760</v>
      </c>
      <c r="N203" s="129">
        <v>42614</v>
      </c>
      <c r="O203" s="129">
        <v>43708</v>
      </c>
      <c r="P203" s="129">
        <v>43921</v>
      </c>
      <c r="Q203" s="144">
        <v>259476</v>
      </c>
      <c r="R203" s="150"/>
      <c r="S203" s="132">
        <v>43333</v>
      </c>
      <c r="T203" s="132">
        <v>15000</v>
      </c>
      <c r="U203" s="132">
        <v>35000</v>
      </c>
      <c r="V203" s="132"/>
      <c r="W203" s="132">
        <v>3159</v>
      </c>
      <c r="X203" s="132">
        <v>0</v>
      </c>
      <c r="Y203" s="111">
        <v>96492</v>
      </c>
      <c r="Z203" s="133">
        <f t="shared" si="34"/>
        <v>96492</v>
      </c>
      <c r="AA203" s="133">
        <f t="shared" si="35"/>
        <v>0</v>
      </c>
      <c r="AB203" s="141"/>
      <c r="AC203" s="132">
        <v>43333</v>
      </c>
      <c r="AD203" s="132">
        <v>0</v>
      </c>
      <c r="AE203" s="132">
        <v>35000</v>
      </c>
      <c r="AF203" s="132">
        <v>3159</v>
      </c>
      <c r="AG203" s="132">
        <v>0</v>
      </c>
      <c r="AH203" s="132"/>
      <c r="AI203" s="111">
        <v>81492</v>
      </c>
      <c r="AJ203" s="134">
        <f t="shared" si="30"/>
        <v>81492</v>
      </c>
      <c r="AK203" s="134">
        <f t="shared" si="36"/>
        <v>0</v>
      </c>
      <c r="AL203" s="142"/>
      <c r="AM203" s="135">
        <v>43333</v>
      </c>
      <c r="AN203" s="135">
        <v>0</v>
      </c>
      <c r="AO203" s="135">
        <v>35000</v>
      </c>
      <c r="AP203" s="135"/>
      <c r="AQ203" s="135">
        <v>3159</v>
      </c>
      <c r="AR203" s="135">
        <v>0</v>
      </c>
      <c r="AS203" s="116">
        <v>81492</v>
      </c>
      <c r="AT203" s="134">
        <f t="shared" si="40"/>
        <v>81492</v>
      </c>
      <c r="AU203" s="134">
        <f t="shared" si="37"/>
        <v>0</v>
      </c>
      <c r="AV203" s="142"/>
      <c r="AW203" s="135"/>
      <c r="AX203" s="135"/>
      <c r="AY203" s="135"/>
      <c r="AZ203" s="135"/>
      <c r="BA203" s="135"/>
      <c r="BB203" s="116"/>
      <c r="BC203" s="113"/>
      <c r="BD203" s="116"/>
      <c r="BE203" s="113"/>
      <c r="BF203" s="116"/>
      <c r="BG203" s="116"/>
      <c r="BH203" s="137">
        <f t="shared" si="38"/>
        <v>259476</v>
      </c>
      <c r="BI203" s="138">
        <f t="shared" si="39"/>
        <v>0</v>
      </c>
      <c r="BJ203" s="147"/>
      <c r="BK203" s="91"/>
    </row>
    <row r="204" spans="1:63" ht="15.75">
      <c r="A204" s="139">
        <v>507777</v>
      </c>
      <c r="B204" s="126">
        <v>208815</v>
      </c>
      <c r="C204" s="124" t="s">
        <v>1138</v>
      </c>
      <c r="D204" s="124" t="s">
        <v>1139</v>
      </c>
      <c r="E204" s="124" t="s">
        <v>1137</v>
      </c>
      <c r="F204" s="124" t="s">
        <v>314</v>
      </c>
      <c r="G204" s="127" t="s">
        <v>53</v>
      </c>
      <c r="H204" s="126" t="s">
        <v>628</v>
      </c>
      <c r="I204" s="126" t="s">
        <v>598</v>
      </c>
      <c r="J204" s="126" t="s">
        <v>683</v>
      </c>
      <c r="K204" s="128" t="s">
        <v>684</v>
      </c>
      <c r="L204" s="121" t="s">
        <v>519</v>
      </c>
      <c r="M204" s="123" t="s">
        <v>769</v>
      </c>
      <c r="N204" s="129">
        <v>43709</v>
      </c>
      <c r="O204" s="129">
        <v>44530</v>
      </c>
      <c r="P204" s="129">
        <v>44530</v>
      </c>
      <c r="Q204" s="130">
        <f>15314+32926+48240</f>
        <v>96480</v>
      </c>
      <c r="R204" s="113"/>
      <c r="S204" s="132">
        <v>0</v>
      </c>
      <c r="T204" s="132">
        <v>0</v>
      </c>
      <c r="U204" s="132">
        <v>48240</v>
      </c>
      <c r="V204" s="132">
        <v>0</v>
      </c>
      <c r="W204" s="132">
        <v>0</v>
      </c>
      <c r="X204" s="132">
        <v>0</v>
      </c>
      <c r="Y204" s="111">
        <v>48240</v>
      </c>
      <c r="Z204" s="133">
        <f t="shared" si="34"/>
        <v>48240</v>
      </c>
      <c r="AA204" s="133">
        <f t="shared" si="35"/>
        <v>0</v>
      </c>
      <c r="AB204" s="141"/>
      <c r="AC204" s="132">
        <v>0</v>
      </c>
      <c r="AD204" s="132">
        <v>0</v>
      </c>
      <c r="AE204" s="132">
        <v>48240</v>
      </c>
      <c r="AF204" s="132">
        <v>0</v>
      </c>
      <c r="AG204" s="132">
        <v>0</v>
      </c>
      <c r="AH204" s="132">
        <v>0</v>
      </c>
      <c r="AI204" s="111">
        <v>48240</v>
      </c>
      <c r="AJ204" s="134">
        <f t="shared" si="30"/>
        <v>48240</v>
      </c>
      <c r="AK204" s="134">
        <f t="shared" si="36"/>
        <v>0</v>
      </c>
      <c r="AL204" s="142"/>
      <c r="AM204" s="132">
        <v>0</v>
      </c>
      <c r="AN204" s="132">
        <v>0</v>
      </c>
      <c r="AO204" s="132">
        <v>48240</v>
      </c>
      <c r="AP204" s="132">
        <v>0</v>
      </c>
      <c r="AQ204" s="132">
        <v>0</v>
      </c>
      <c r="AR204" s="132">
        <v>0</v>
      </c>
      <c r="AS204" s="116">
        <f>SUM(AM204:AR204)</f>
        <v>48240</v>
      </c>
      <c r="AT204" s="134">
        <f t="shared" si="40"/>
        <v>48240</v>
      </c>
      <c r="AU204" s="134">
        <f t="shared" si="37"/>
        <v>0</v>
      </c>
      <c r="AV204" s="142"/>
      <c r="AW204" s="135"/>
      <c r="AX204" s="135"/>
      <c r="AY204" s="135"/>
      <c r="AZ204" s="135"/>
      <c r="BA204" s="135"/>
      <c r="BB204" s="116"/>
      <c r="BC204" s="113"/>
      <c r="BD204" s="116"/>
      <c r="BE204" s="113"/>
      <c r="BF204" s="116"/>
      <c r="BG204" s="116"/>
      <c r="BH204" s="137">
        <f t="shared" si="38"/>
        <v>144720</v>
      </c>
      <c r="BI204" s="138">
        <f t="shared" si="39"/>
        <v>48240</v>
      </c>
      <c r="BJ204" s="126"/>
      <c r="BK204" s="91"/>
    </row>
    <row r="205" spans="1:63" ht="15.75">
      <c r="A205" s="123">
        <v>501332</v>
      </c>
      <c r="B205" s="126">
        <v>208846</v>
      </c>
      <c r="C205" s="124" t="s">
        <v>1142</v>
      </c>
      <c r="D205" s="124" t="s">
        <v>1143</v>
      </c>
      <c r="E205" s="125" t="s">
        <v>1140</v>
      </c>
      <c r="F205" s="124" t="s">
        <v>1141</v>
      </c>
      <c r="G205" s="127" t="s">
        <v>46</v>
      </c>
      <c r="H205" s="126" t="s">
        <v>628</v>
      </c>
      <c r="I205" s="126" t="s">
        <v>703</v>
      </c>
      <c r="J205" s="126" t="s">
        <v>774</v>
      </c>
      <c r="K205" s="128" t="s">
        <v>775</v>
      </c>
      <c r="L205" s="121" t="s">
        <v>515</v>
      </c>
      <c r="M205" s="123" t="s">
        <v>839</v>
      </c>
      <c r="N205" s="129">
        <v>42614</v>
      </c>
      <c r="O205" s="129">
        <v>43708</v>
      </c>
      <c r="P205" s="129">
        <v>43708</v>
      </c>
      <c r="Q205" s="130">
        <v>50000</v>
      </c>
      <c r="R205" s="113"/>
      <c r="S205" s="132">
        <v>0</v>
      </c>
      <c r="T205" s="132">
        <v>0</v>
      </c>
      <c r="U205" s="132">
        <v>0</v>
      </c>
      <c r="V205" s="132"/>
      <c r="W205" s="132">
        <v>0</v>
      </c>
      <c r="X205" s="132">
        <v>0</v>
      </c>
      <c r="Y205" s="111">
        <v>0</v>
      </c>
      <c r="Z205" s="133">
        <f t="shared" si="34"/>
        <v>0</v>
      </c>
      <c r="AA205" s="133">
        <f t="shared" si="35"/>
        <v>0</v>
      </c>
      <c r="AB205" s="141"/>
      <c r="AC205" s="132">
        <v>25000</v>
      </c>
      <c r="AD205" s="132">
        <v>0</v>
      </c>
      <c r="AE205" s="132">
        <v>0</v>
      </c>
      <c r="AF205" s="132">
        <v>0</v>
      </c>
      <c r="AG205" s="132">
        <v>0</v>
      </c>
      <c r="AH205" s="132"/>
      <c r="AI205" s="111">
        <v>25000</v>
      </c>
      <c r="AJ205" s="134">
        <f t="shared" si="30"/>
        <v>25000</v>
      </c>
      <c r="AK205" s="134">
        <f t="shared" si="36"/>
        <v>0</v>
      </c>
      <c r="AL205" s="142"/>
      <c r="AM205" s="135">
        <v>25000</v>
      </c>
      <c r="AN205" s="135">
        <v>0</v>
      </c>
      <c r="AO205" s="135">
        <v>0</v>
      </c>
      <c r="AP205" s="135"/>
      <c r="AQ205" s="135">
        <v>0</v>
      </c>
      <c r="AR205" s="135">
        <v>0</v>
      </c>
      <c r="AS205" s="116">
        <v>25000</v>
      </c>
      <c r="AT205" s="134">
        <f t="shared" si="40"/>
        <v>25000</v>
      </c>
      <c r="AU205" s="134">
        <f t="shared" si="37"/>
        <v>0</v>
      </c>
      <c r="AV205" s="142"/>
      <c r="AW205" s="135"/>
      <c r="AX205" s="135"/>
      <c r="AY205" s="135"/>
      <c r="AZ205" s="135"/>
      <c r="BA205" s="135"/>
      <c r="BB205" s="116"/>
      <c r="BC205" s="113"/>
      <c r="BD205" s="116"/>
      <c r="BE205" s="113"/>
      <c r="BF205" s="116"/>
      <c r="BG205" s="116"/>
      <c r="BH205" s="137">
        <f t="shared" si="38"/>
        <v>50000</v>
      </c>
      <c r="BI205" s="138">
        <f t="shared" si="39"/>
        <v>0</v>
      </c>
      <c r="BJ205" s="126" t="s">
        <v>1144</v>
      </c>
      <c r="BK205" s="91"/>
    </row>
    <row r="206" spans="1:63" ht="15.75">
      <c r="A206" s="123">
        <v>501813</v>
      </c>
      <c r="B206" s="126">
        <v>208846</v>
      </c>
      <c r="C206" s="124" t="s">
        <v>1142</v>
      </c>
      <c r="D206" s="124" t="s">
        <v>1143</v>
      </c>
      <c r="E206" s="125" t="s">
        <v>1140</v>
      </c>
      <c r="F206" s="124" t="s">
        <v>1141</v>
      </c>
      <c r="G206" s="127" t="s">
        <v>46</v>
      </c>
      <c r="H206" s="126" t="s">
        <v>1145</v>
      </c>
      <c r="I206" s="126" t="s">
        <v>703</v>
      </c>
      <c r="J206" s="126" t="s">
        <v>774</v>
      </c>
      <c r="K206" s="128" t="s">
        <v>775</v>
      </c>
      <c r="L206" s="121" t="s">
        <v>518</v>
      </c>
      <c r="M206" s="123" t="s">
        <v>1146</v>
      </c>
      <c r="N206" s="129">
        <v>42736</v>
      </c>
      <c r="O206" s="129">
        <v>43830</v>
      </c>
      <c r="P206" s="129">
        <v>43921</v>
      </c>
      <c r="Q206" s="130">
        <v>150000</v>
      </c>
      <c r="R206" s="113"/>
      <c r="S206" s="132">
        <v>150000</v>
      </c>
      <c r="T206" s="132">
        <v>0</v>
      </c>
      <c r="U206" s="132">
        <v>0</v>
      </c>
      <c r="V206" s="132">
        <v>0</v>
      </c>
      <c r="W206" s="132">
        <v>0</v>
      </c>
      <c r="X206" s="132">
        <v>0</v>
      </c>
      <c r="Y206" s="111">
        <v>150000</v>
      </c>
      <c r="Z206" s="133">
        <f t="shared" si="34"/>
        <v>150000</v>
      </c>
      <c r="AA206" s="133">
        <f t="shared" si="35"/>
        <v>0</v>
      </c>
      <c r="AB206" s="141"/>
      <c r="AC206" s="175" t="s">
        <v>602</v>
      </c>
      <c r="AD206" s="175" t="s">
        <v>602</v>
      </c>
      <c r="AE206" s="132" t="s">
        <v>602</v>
      </c>
      <c r="AF206" s="132" t="s">
        <v>602</v>
      </c>
      <c r="AG206" s="132" t="s">
        <v>602</v>
      </c>
      <c r="AH206" s="132"/>
      <c r="AI206" s="111">
        <v>0</v>
      </c>
      <c r="AJ206" s="134">
        <f t="shared" si="30"/>
        <v>0</v>
      </c>
      <c r="AK206" s="134">
        <f t="shared" si="36"/>
        <v>0</v>
      </c>
      <c r="AL206" s="142"/>
      <c r="AM206" s="132">
        <v>0</v>
      </c>
      <c r="AN206" s="132">
        <v>0</v>
      </c>
      <c r="AO206" s="132">
        <v>0</v>
      </c>
      <c r="AP206" s="132">
        <v>0</v>
      </c>
      <c r="AQ206" s="132">
        <v>0</v>
      </c>
      <c r="AR206" s="132">
        <v>0</v>
      </c>
      <c r="AS206" s="116">
        <v>0</v>
      </c>
      <c r="AT206" s="134">
        <f t="shared" si="40"/>
        <v>0</v>
      </c>
      <c r="AU206" s="134">
        <f t="shared" si="37"/>
        <v>0</v>
      </c>
      <c r="AV206" s="142"/>
      <c r="AW206" s="135"/>
      <c r="AX206" s="135"/>
      <c r="AY206" s="135"/>
      <c r="AZ206" s="135"/>
      <c r="BA206" s="135"/>
      <c r="BB206" s="116"/>
      <c r="BC206" s="113"/>
      <c r="BD206" s="116"/>
      <c r="BE206" s="113"/>
      <c r="BF206" s="116"/>
      <c r="BG206" s="116"/>
      <c r="BH206" s="137">
        <f t="shared" si="38"/>
        <v>150000</v>
      </c>
      <c r="BI206" s="138">
        <f t="shared" si="39"/>
        <v>0</v>
      </c>
      <c r="BJ206" s="126" t="s">
        <v>1147</v>
      </c>
      <c r="BK206" s="91"/>
    </row>
    <row r="207" spans="1:63" ht="15.75">
      <c r="A207" s="123">
        <v>501814</v>
      </c>
      <c r="B207" s="126">
        <v>208846</v>
      </c>
      <c r="C207" s="124" t="s">
        <v>1142</v>
      </c>
      <c r="D207" s="124" t="s">
        <v>1143</v>
      </c>
      <c r="E207" s="125" t="s">
        <v>1140</v>
      </c>
      <c r="F207" s="124" t="s">
        <v>1141</v>
      </c>
      <c r="G207" s="127" t="s">
        <v>46</v>
      </c>
      <c r="H207" s="126" t="s">
        <v>1148</v>
      </c>
      <c r="I207" s="126" t="s">
        <v>703</v>
      </c>
      <c r="J207" s="126" t="s">
        <v>774</v>
      </c>
      <c r="K207" s="128" t="s">
        <v>775</v>
      </c>
      <c r="L207" s="121" t="s">
        <v>518</v>
      </c>
      <c r="M207" s="123" t="s">
        <v>1146</v>
      </c>
      <c r="N207" s="129">
        <v>42979</v>
      </c>
      <c r="O207" s="129">
        <v>43830</v>
      </c>
      <c r="P207" s="129">
        <v>43921</v>
      </c>
      <c r="Q207" s="130">
        <v>111200</v>
      </c>
      <c r="R207" s="113"/>
      <c r="S207" s="132">
        <v>55600</v>
      </c>
      <c r="T207" s="132">
        <v>0</v>
      </c>
      <c r="U207" s="132">
        <v>0</v>
      </c>
      <c r="V207" s="132">
        <v>0</v>
      </c>
      <c r="W207" s="132">
        <v>0</v>
      </c>
      <c r="X207" s="132">
        <v>0</v>
      </c>
      <c r="Y207" s="111">
        <v>55600</v>
      </c>
      <c r="Z207" s="133">
        <f t="shared" si="34"/>
        <v>55600</v>
      </c>
      <c r="AA207" s="133">
        <f t="shared" si="35"/>
        <v>0</v>
      </c>
      <c r="AB207" s="141"/>
      <c r="AC207" s="132">
        <v>55600</v>
      </c>
      <c r="AD207" s="132">
        <v>0</v>
      </c>
      <c r="AE207" s="132">
        <v>0</v>
      </c>
      <c r="AF207" s="132">
        <v>0</v>
      </c>
      <c r="AG207" s="132">
        <v>0</v>
      </c>
      <c r="AH207" s="132"/>
      <c r="AI207" s="111">
        <v>55600</v>
      </c>
      <c r="AJ207" s="134">
        <f t="shared" si="30"/>
        <v>55600</v>
      </c>
      <c r="AK207" s="134">
        <f t="shared" si="36"/>
        <v>0</v>
      </c>
      <c r="AL207" s="142"/>
      <c r="AM207" s="132">
        <v>0</v>
      </c>
      <c r="AN207" s="132">
        <v>0</v>
      </c>
      <c r="AO207" s="132">
        <v>0</v>
      </c>
      <c r="AP207" s="132">
        <v>0</v>
      </c>
      <c r="AQ207" s="132">
        <v>0</v>
      </c>
      <c r="AR207" s="132">
        <v>0</v>
      </c>
      <c r="AS207" s="116">
        <v>0</v>
      </c>
      <c r="AT207" s="134">
        <f t="shared" si="40"/>
        <v>0</v>
      </c>
      <c r="AU207" s="134">
        <f t="shared" si="37"/>
        <v>0</v>
      </c>
      <c r="AV207" s="142"/>
      <c r="AW207" s="135"/>
      <c r="AX207" s="135"/>
      <c r="AY207" s="135"/>
      <c r="AZ207" s="135"/>
      <c r="BA207" s="135"/>
      <c r="BB207" s="116"/>
      <c r="BC207" s="113"/>
      <c r="BD207" s="116"/>
      <c r="BE207" s="113"/>
      <c r="BF207" s="116"/>
      <c r="BG207" s="116"/>
      <c r="BH207" s="137">
        <f t="shared" si="38"/>
        <v>111200</v>
      </c>
      <c r="BI207" s="138">
        <f t="shared" si="39"/>
        <v>0</v>
      </c>
      <c r="BJ207" s="126" t="s">
        <v>1149</v>
      </c>
      <c r="BK207" s="91"/>
    </row>
    <row r="208" spans="1:63" ht="15.75">
      <c r="A208" s="123">
        <v>504335</v>
      </c>
      <c r="B208" s="126">
        <v>208897</v>
      </c>
      <c r="C208" s="148" t="s">
        <v>1151</v>
      </c>
      <c r="D208" s="148" t="s">
        <v>1152</v>
      </c>
      <c r="E208" s="125" t="s">
        <v>1150</v>
      </c>
      <c r="F208" s="124" t="s">
        <v>272</v>
      </c>
      <c r="G208" s="127" t="s">
        <v>46</v>
      </c>
      <c r="H208" s="126" t="s">
        <v>597</v>
      </c>
      <c r="I208" s="126" t="s">
        <v>598</v>
      </c>
      <c r="J208" s="126" t="s">
        <v>795</v>
      </c>
      <c r="K208" s="128" t="s">
        <v>796</v>
      </c>
      <c r="L208" s="121" t="s">
        <v>19</v>
      </c>
      <c r="M208" s="126" t="s">
        <v>799</v>
      </c>
      <c r="N208" s="129">
        <v>43191</v>
      </c>
      <c r="O208" s="129">
        <v>44044</v>
      </c>
      <c r="P208" s="129">
        <v>44149</v>
      </c>
      <c r="Q208" s="144">
        <f>58135+58135</f>
        <v>116270</v>
      </c>
      <c r="R208" s="150"/>
      <c r="S208" s="132">
        <v>48925</v>
      </c>
      <c r="T208" s="132">
        <v>0</v>
      </c>
      <c r="U208" s="132">
        <v>7910</v>
      </c>
      <c r="V208" s="132">
        <v>0</v>
      </c>
      <c r="W208" s="132">
        <v>1300</v>
      </c>
      <c r="X208" s="132">
        <v>0</v>
      </c>
      <c r="Y208" s="111">
        <f>SUM(R208:X208)</f>
        <v>58135</v>
      </c>
      <c r="Z208" s="133">
        <f t="shared" si="34"/>
        <v>58135</v>
      </c>
      <c r="AA208" s="133">
        <f t="shared" si="35"/>
        <v>0</v>
      </c>
      <c r="AB208" s="141"/>
      <c r="AC208" s="132">
        <v>48925</v>
      </c>
      <c r="AD208" s="132">
        <v>0</v>
      </c>
      <c r="AE208" s="132">
        <v>7910</v>
      </c>
      <c r="AF208" s="132">
        <v>0</v>
      </c>
      <c r="AG208" s="132">
        <v>1300</v>
      </c>
      <c r="AH208" s="132"/>
      <c r="AI208" s="111">
        <v>58135</v>
      </c>
      <c r="AJ208" s="134">
        <f t="shared" si="30"/>
        <v>58135</v>
      </c>
      <c r="AK208" s="134">
        <f t="shared" si="36"/>
        <v>0</v>
      </c>
      <c r="AL208" s="145"/>
      <c r="AM208" s="132">
        <v>0</v>
      </c>
      <c r="AN208" s="132">
        <v>0</v>
      </c>
      <c r="AO208" s="132">
        <v>0</v>
      </c>
      <c r="AP208" s="132">
        <v>0</v>
      </c>
      <c r="AQ208" s="132">
        <v>0</v>
      </c>
      <c r="AR208" s="132">
        <v>0</v>
      </c>
      <c r="AS208" s="116">
        <v>0</v>
      </c>
      <c r="AT208" s="134">
        <f t="shared" si="40"/>
        <v>0</v>
      </c>
      <c r="AU208" s="134">
        <f t="shared" si="37"/>
        <v>0</v>
      </c>
      <c r="AV208" s="142"/>
      <c r="AW208" s="135"/>
      <c r="AX208" s="135"/>
      <c r="AY208" s="135"/>
      <c r="AZ208" s="135"/>
      <c r="BA208" s="135"/>
      <c r="BB208" s="116"/>
      <c r="BC208" s="113"/>
      <c r="BD208" s="116"/>
      <c r="BE208" s="113"/>
      <c r="BF208" s="116"/>
      <c r="BG208" s="116"/>
      <c r="BH208" s="137">
        <f t="shared" si="38"/>
        <v>116270</v>
      </c>
      <c r="BI208" s="138">
        <f t="shared" si="39"/>
        <v>0</v>
      </c>
      <c r="BJ208" s="126"/>
      <c r="BK208" s="91"/>
    </row>
    <row r="209" spans="1:63" ht="15.75">
      <c r="A209" s="123">
        <v>507641</v>
      </c>
      <c r="B209" s="126">
        <v>208897</v>
      </c>
      <c r="C209" s="124" t="s">
        <v>1151</v>
      </c>
      <c r="D209" s="124" t="s">
        <v>1152</v>
      </c>
      <c r="E209" s="125" t="s">
        <v>1150</v>
      </c>
      <c r="F209" s="124" t="s">
        <v>272</v>
      </c>
      <c r="G209" s="127" t="s">
        <v>46</v>
      </c>
      <c r="H209" s="126" t="s">
        <v>628</v>
      </c>
      <c r="I209" s="126" t="s">
        <v>598</v>
      </c>
      <c r="J209" s="126" t="s">
        <v>795</v>
      </c>
      <c r="K209" s="162" t="s">
        <v>801</v>
      </c>
      <c r="L209" s="121" t="s">
        <v>519</v>
      </c>
      <c r="M209" s="123" t="s">
        <v>755</v>
      </c>
      <c r="N209" s="129">
        <v>43709</v>
      </c>
      <c r="O209" s="129">
        <v>44530</v>
      </c>
      <c r="P209" s="129">
        <v>44530</v>
      </c>
      <c r="Q209" s="130">
        <f>73925+73925</f>
        <v>147850</v>
      </c>
      <c r="R209" s="113"/>
      <c r="S209" s="132">
        <v>49625</v>
      </c>
      <c r="T209" s="132"/>
      <c r="U209" s="132">
        <v>12600</v>
      </c>
      <c r="V209" s="132"/>
      <c r="W209" s="132">
        <v>11700</v>
      </c>
      <c r="X209" s="132"/>
      <c r="Y209" s="111">
        <v>73925</v>
      </c>
      <c r="Z209" s="133">
        <f t="shared" si="34"/>
        <v>73925</v>
      </c>
      <c r="AA209" s="133">
        <f t="shared" si="35"/>
        <v>0</v>
      </c>
      <c r="AB209" s="141"/>
      <c r="AC209" s="132">
        <v>49625</v>
      </c>
      <c r="AD209" s="132"/>
      <c r="AE209" s="132">
        <v>12600</v>
      </c>
      <c r="AF209" s="132"/>
      <c r="AG209" s="132">
        <v>11700</v>
      </c>
      <c r="AH209" s="132"/>
      <c r="AI209" s="111">
        <v>73925</v>
      </c>
      <c r="AJ209" s="134">
        <f t="shared" ref="AJ209:AJ227" si="41">SUM(AB209:AH209)</f>
        <v>73925</v>
      </c>
      <c r="AK209" s="134">
        <f t="shared" si="36"/>
        <v>0</v>
      </c>
      <c r="AL209" s="142"/>
      <c r="AM209" s="132">
        <v>49625</v>
      </c>
      <c r="AN209" s="132"/>
      <c r="AO209" s="132">
        <v>12600</v>
      </c>
      <c r="AP209" s="132"/>
      <c r="AQ209" s="132">
        <v>11700</v>
      </c>
      <c r="AR209" s="135"/>
      <c r="AS209" s="116">
        <f>SUM(AM209:AR209)</f>
        <v>73925</v>
      </c>
      <c r="AT209" s="134">
        <f t="shared" si="40"/>
        <v>73925</v>
      </c>
      <c r="AU209" s="134">
        <f t="shared" si="37"/>
        <v>0</v>
      </c>
      <c r="AV209" s="142"/>
      <c r="AW209" s="135"/>
      <c r="AX209" s="135"/>
      <c r="AY209" s="135"/>
      <c r="AZ209" s="135"/>
      <c r="BA209" s="135"/>
      <c r="BB209" s="116"/>
      <c r="BC209" s="113"/>
      <c r="BD209" s="116"/>
      <c r="BE209" s="113"/>
      <c r="BF209" s="116"/>
      <c r="BG209" s="116"/>
      <c r="BH209" s="137">
        <f t="shared" si="38"/>
        <v>221775</v>
      </c>
      <c r="BI209" s="138">
        <f t="shared" si="39"/>
        <v>73925</v>
      </c>
      <c r="BJ209" s="126"/>
      <c r="BK209" s="91"/>
    </row>
    <row r="210" spans="1:63" ht="15.75">
      <c r="A210" s="123">
        <v>502527</v>
      </c>
      <c r="B210" s="126">
        <v>208908</v>
      </c>
      <c r="C210" s="121" t="s">
        <v>1155</v>
      </c>
      <c r="D210" s="121" t="s">
        <v>1156</v>
      </c>
      <c r="E210" s="125" t="s">
        <v>1153</v>
      </c>
      <c r="F210" s="124" t="s">
        <v>1154</v>
      </c>
      <c r="G210" s="127" t="s">
        <v>53</v>
      </c>
      <c r="H210" s="123" t="s">
        <v>597</v>
      </c>
      <c r="I210" s="126" t="s">
        <v>598</v>
      </c>
      <c r="J210" s="126" t="s">
        <v>659</v>
      </c>
      <c r="K210" s="128" t="s">
        <v>660</v>
      </c>
      <c r="L210" s="121" t="s">
        <v>652</v>
      </c>
      <c r="M210" s="123" t="s">
        <v>1157</v>
      </c>
      <c r="N210" s="129">
        <v>42614</v>
      </c>
      <c r="O210" s="129">
        <v>43190</v>
      </c>
      <c r="P210" s="129">
        <v>43190</v>
      </c>
      <c r="Q210" s="144">
        <v>75000</v>
      </c>
      <c r="R210" s="150"/>
      <c r="S210" s="132">
        <v>25000</v>
      </c>
      <c r="T210" s="132">
        <v>9072</v>
      </c>
      <c r="U210" s="132">
        <v>40928</v>
      </c>
      <c r="V210" s="132"/>
      <c r="W210" s="132">
        <v>0</v>
      </c>
      <c r="X210" s="132">
        <v>0</v>
      </c>
      <c r="Y210" s="111">
        <v>75000</v>
      </c>
      <c r="Z210" s="133">
        <f t="shared" si="34"/>
        <v>75000</v>
      </c>
      <c r="AA210" s="133">
        <f t="shared" si="35"/>
        <v>0</v>
      </c>
      <c r="AB210" s="141"/>
      <c r="AC210" s="132" t="s">
        <v>602</v>
      </c>
      <c r="AD210" s="132" t="s">
        <v>602</v>
      </c>
      <c r="AE210" s="132" t="s">
        <v>602</v>
      </c>
      <c r="AF210" s="132" t="s">
        <v>602</v>
      </c>
      <c r="AG210" s="132" t="s">
        <v>602</v>
      </c>
      <c r="AH210" s="132"/>
      <c r="AI210" s="111">
        <v>0</v>
      </c>
      <c r="AJ210" s="134">
        <f t="shared" si="41"/>
        <v>0</v>
      </c>
      <c r="AK210" s="134">
        <f t="shared" si="36"/>
        <v>0</v>
      </c>
      <c r="AL210" s="142"/>
      <c r="AM210" s="132">
        <v>0</v>
      </c>
      <c r="AN210" s="132">
        <v>0</v>
      </c>
      <c r="AO210" s="132">
        <v>0</v>
      </c>
      <c r="AP210" s="132">
        <v>0</v>
      </c>
      <c r="AQ210" s="132">
        <v>0</v>
      </c>
      <c r="AR210" s="132">
        <v>0</v>
      </c>
      <c r="AS210" s="116">
        <v>0</v>
      </c>
      <c r="AT210" s="134">
        <f t="shared" si="40"/>
        <v>0</v>
      </c>
      <c r="AU210" s="134">
        <f t="shared" si="37"/>
        <v>0</v>
      </c>
      <c r="AV210" s="142"/>
      <c r="AW210" s="166"/>
      <c r="AX210" s="166"/>
      <c r="AY210" s="166"/>
      <c r="AZ210" s="166"/>
      <c r="BA210" s="166"/>
      <c r="BB210" s="116"/>
      <c r="BC210" s="113"/>
      <c r="BD210" s="116"/>
      <c r="BE210" s="113"/>
      <c r="BF210" s="116"/>
      <c r="BG210" s="116"/>
      <c r="BH210" s="137">
        <f t="shared" si="38"/>
        <v>75000</v>
      </c>
      <c r="BI210" s="138">
        <f t="shared" si="39"/>
        <v>0</v>
      </c>
      <c r="BJ210" s="126" t="s">
        <v>1068</v>
      </c>
      <c r="BK210" s="91"/>
    </row>
    <row r="211" spans="1:63" ht="15.75">
      <c r="A211" s="123">
        <v>502564</v>
      </c>
      <c r="B211" s="126">
        <v>208923</v>
      </c>
      <c r="C211" s="121" t="s">
        <v>1160</v>
      </c>
      <c r="D211" s="121" t="s">
        <v>1161</v>
      </c>
      <c r="E211" s="125" t="s">
        <v>1158</v>
      </c>
      <c r="F211" s="124" t="s">
        <v>1159</v>
      </c>
      <c r="G211" s="127" t="s">
        <v>68</v>
      </c>
      <c r="H211" s="123" t="s">
        <v>597</v>
      </c>
      <c r="I211" s="126" t="s">
        <v>598</v>
      </c>
      <c r="J211" s="126" t="s">
        <v>672</v>
      </c>
      <c r="K211" s="128" t="s">
        <v>673</v>
      </c>
      <c r="L211" s="121" t="s">
        <v>652</v>
      </c>
      <c r="M211" s="123" t="s">
        <v>1162</v>
      </c>
      <c r="N211" s="129">
        <v>42826</v>
      </c>
      <c r="O211" s="129">
        <v>43190</v>
      </c>
      <c r="P211" s="129">
        <v>43190</v>
      </c>
      <c r="Q211" s="144">
        <v>75000</v>
      </c>
      <c r="R211" s="150"/>
      <c r="S211" s="132">
        <v>40000</v>
      </c>
      <c r="T211" s="132">
        <v>0</v>
      </c>
      <c r="U211" s="132">
        <v>35000</v>
      </c>
      <c r="V211" s="132"/>
      <c r="W211" s="132">
        <v>0</v>
      </c>
      <c r="X211" s="132">
        <v>0</v>
      </c>
      <c r="Y211" s="111">
        <v>75000</v>
      </c>
      <c r="Z211" s="133">
        <f t="shared" si="34"/>
        <v>75000</v>
      </c>
      <c r="AA211" s="133">
        <f t="shared" si="35"/>
        <v>0</v>
      </c>
      <c r="AB211" s="141"/>
      <c r="AC211" s="132" t="s">
        <v>602</v>
      </c>
      <c r="AD211" s="132" t="s">
        <v>602</v>
      </c>
      <c r="AE211" s="132" t="s">
        <v>602</v>
      </c>
      <c r="AF211" s="132" t="s">
        <v>602</v>
      </c>
      <c r="AG211" s="132" t="s">
        <v>602</v>
      </c>
      <c r="AH211" s="132"/>
      <c r="AI211" s="111">
        <v>0</v>
      </c>
      <c r="AJ211" s="134">
        <f t="shared" si="41"/>
        <v>0</v>
      </c>
      <c r="AK211" s="134">
        <f t="shared" si="36"/>
        <v>0</v>
      </c>
      <c r="AL211" s="142"/>
      <c r="AM211" s="132">
        <v>0</v>
      </c>
      <c r="AN211" s="132">
        <v>0</v>
      </c>
      <c r="AO211" s="132">
        <v>0</v>
      </c>
      <c r="AP211" s="132">
        <v>0</v>
      </c>
      <c r="AQ211" s="132">
        <v>0</v>
      </c>
      <c r="AR211" s="132">
        <v>0</v>
      </c>
      <c r="AS211" s="116">
        <v>0</v>
      </c>
      <c r="AT211" s="134">
        <f t="shared" si="40"/>
        <v>0</v>
      </c>
      <c r="AU211" s="134">
        <f t="shared" si="37"/>
        <v>0</v>
      </c>
      <c r="AV211" s="142"/>
      <c r="AW211" s="166"/>
      <c r="AX211" s="166"/>
      <c r="AY211" s="166"/>
      <c r="AZ211" s="166"/>
      <c r="BA211" s="166"/>
      <c r="BB211" s="116"/>
      <c r="BC211" s="113"/>
      <c r="BD211" s="116"/>
      <c r="BE211" s="113"/>
      <c r="BF211" s="116"/>
      <c r="BG211" s="116"/>
      <c r="BH211" s="137">
        <f t="shared" si="38"/>
        <v>75000</v>
      </c>
      <c r="BI211" s="138">
        <f t="shared" si="39"/>
        <v>0</v>
      </c>
      <c r="BJ211" s="126" t="s">
        <v>1068</v>
      </c>
      <c r="BK211" s="91"/>
    </row>
    <row r="212" spans="1:63" ht="15.75">
      <c r="A212" s="123">
        <v>502801</v>
      </c>
      <c r="B212" s="126">
        <v>208934</v>
      </c>
      <c r="C212" s="124" t="s">
        <v>1164</v>
      </c>
      <c r="D212" s="124" t="s">
        <v>1165</v>
      </c>
      <c r="E212" s="125" t="s">
        <v>1163</v>
      </c>
      <c r="F212" s="124" t="s">
        <v>108</v>
      </c>
      <c r="G212" s="127" t="s">
        <v>75</v>
      </c>
      <c r="H212" s="126" t="s">
        <v>597</v>
      </c>
      <c r="I212" s="126" t="s">
        <v>598</v>
      </c>
      <c r="J212" s="126" t="s">
        <v>599</v>
      </c>
      <c r="K212" s="128" t="s">
        <v>600</v>
      </c>
      <c r="L212" s="121" t="s">
        <v>19</v>
      </c>
      <c r="M212" s="123" t="s">
        <v>753</v>
      </c>
      <c r="N212" s="129">
        <v>42826</v>
      </c>
      <c r="O212" s="129">
        <v>43555</v>
      </c>
      <c r="P212" s="129">
        <v>43190</v>
      </c>
      <c r="Q212" s="144">
        <v>76600</v>
      </c>
      <c r="R212" s="150"/>
      <c r="S212" s="132">
        <v>24240</v>
      </c>
      <c r="T212" s="132">
        <v>0</v>
      </c>
      <c r="U212" s="132">
        <v>10100</v>
      </c>
      <c r="V212" s="132">
        <v>0</v>
      </c>
      <c r="W212" s="132">
        <v>3960</v>
      </c>
      <c r="X212" s="132">
        <v>0</v>
      </c>
      <c r="Y212" s="111">
        <v>38300</v>
      </c>
      <c r="Z212" s="133">
        <f t="shared" si="34"/>
        <v>38300</v>
      </c>
      <c r="AA212" s="133">
        <f t="shared" si="35"/>
        <v>0</v>
      </c>
      <c r="AB212" s="141"/>
      <c r="AC212" s="132">
        <v>24240</v>
      </c>
      <c r="AD212" s="132">
        <v>0</v>
      </c>
      <c r="AE212" s="132">
        <v>10100</v>
      </c>
      <c r="AF212" s="132"/>
      <c r="AG212" s="132">
        <v>3960</v>
      </c>
      <c r="AH212" s="132"/>
      <c r="AI212" s="111">
        <v>38300</v>
      </c>
      <c r="AJ212" s="134">
        <f t="shared" si="41"/>
        <v>38300</v>
      </c>
      <c r="AK212" s="134">
        <f t="shared" si="36"/>
        <v>0</v>
      </c>
      <c r="AL212" s="145"/>
      <c r="AM212" s="132" t="s">
        <v>602</v>
      </c>
      <c r="AN212" s="132" t="s">
        <v>602</v>
      </c>
      <c r="AO212" s="132" t="s">
        <v>602</v>
      </c>
      <c r="AP212" s="132" t="s">
        <v>602</v>
      </c>
      <c r="AQ212" s="132" t="s">
        <v>602</v>
      </c>
      <c r="AR212" s="135" t="s">
        <v>602</v>
      </c>
      <c r="AS212" s="116">
        <v>0</v>
      </c>
      <c r="AT212" s="134">
        <f t="shared" si="40"/>
        <v>0</v>
      </c>
      <c r="AU212" s="134">
        <f t="shared" si="37"/>
        <v>0</v>
      </c>
      <c r="AV212" s="142"/>
      <c r="AW212" s="135"/>
      <c r="AX212" s="135"/>
      <c r="AY212" s="135"/>
      <c r="AZ212" s="135"/>
      <c r="BA212" s="135"/>
      <c r="BB212" s="116"/>
      <c r="BC212" s="113"/>
      <c r="BD212" s="116"/>
      <c r="BE212" s="113"/>
      <c r="BF212" s="116"/>
      <c r="BG212" s="116"/>
      <c r="BH212" s="137">
        <f t="shared" si="38"/>
        <v>76600</v>
      </c>
      <c r="BI212" s="138">
        <f t="shared" si="39"/>
        <v>0</v>
      </c>
      <c r="BJ212" s="126"/>
      <c r="BK212" s="91"/>
    </row>
    <row r="213" spans="1:63" ht="15.75">
      <c r="A213" s="123">
        <v>507641</v>
      </c>
      <c r="B213" s="126">
        <v>208934</v>
      </c>
      <c r="C213" s="124" t="s">
        <v>1164</v>
      </c>
      <c r="D213" s="124" t="s">
        <v>1165</v>
      </c>
      <c r="E213" s="125" t="s">
        <v>1163</v>
      </c>
      <c r="F213" s="124" t="s">
        <v>108</v>
      </c>
      <c r="G213" s="127" t="s">
        <v>75</v>
      </c>
      <c r="H213" s="126" t="s">
        <v>628</v>
      </c>
      <c r="I213" s="126" t="s">
        <v>598</v>
      </c>
      <c r="J213" s="126" t="s">
        <v>599</v>
      </c>
      <c r="K213" s="128" t="s">
        <v>600</v>
      </c>
      <c r="L213" s="121" t="s">
        <v>519</v>
      </c>
      <c r="M213" s="123" t="s">
        <v>755</v>
      </c>
      <c r="N213" s="129">
        <v>43709</v>
      </c>
      <c r="O213" s="129">
        <v>44530</v>
      </c>
      <c r="P213" s="129">
        <v>44530</v>
      </c>
      <c r="Q213" s="130">
        <f>58717+58717</f>
        <v>117434</v>
      </c>
      <c r="R213" s="113"/>
      <c r="S213" s="132">
        <v>34750</v>
      </c>
      <c r="T213" s="132"/>
      <c r="U213" s="132">
        <v>20467</v>
      </c>
      <c r="V213" s="132"/>
      <c r="W213" s="132">
        <v>3500</v>
      </c>
      <c r="X213" s="132"/>
      <c r="Y213" s="111">
        <v>58717</v>
      </c>
      <c r="Z213" s="133">
        <f t="shared" si="34"/>
        <v>58717</v>
      </c>
      <c r="AA213" s="133">
        <f t="shared" si="35"/>
        <v>0</v>
      </c>
      <c r="AB213" s="141"/>
      <c r="AC213" s="132">
        <v>34750</v>
      </c>
      <c r="AD213" s="132"/>
      <c r="AE213" s="132">
        <v>20467</v>
      </c>
      <c r="AF213" s="132"/>
      <c r="AG213" s="132">
        <v>3500</v>
      </c>
      <c r="AH213" s="132"/>
      <c r="AI213" s="111">
        <v>58717</v>
      </c>
      <c r="AJ213" s="134">
        <f t="shared" si="41"/>
        <v>58717</v>
      </c>
      <c r="AK213" s="134">
        <f t="shared" si="36"/>
        <v>0</v>
      </c>
      <c r="AL213" s="142"/>
      <c r="AM213" s="132">
        <v>34750</v>
      </c>
      <c r="AN213" s="132"/>
      <c r="AO213" s="132">
        <v>20467</v>
      </c>
      <c r="AP213" s="132"/>
      <c r="AQ213" s="132">
        <v>3500</v>
      </c>
      <c r="AR213" s="132"/>
      <c r="AS213" s="116">
        <f>SUM(AM213:AR213)</f>
        <v>58717</v>
      </c>
      <c r="AT213" s="134">
        <f t="shared" si="40"/>
        <v>58717</v>
      </c>
      <c r="AU213" s="134">
        <f t="shared" si="37"/>
        <v>0</v>
      </c>
      <c r="AV213" s="142"/>
      <c r="AW213" s="135"/>
      <c r="AX213" s="135"/>
      <c r="AY213" s="135"/>
      <c r="AZ213" s="135"/>
      <c r="BA213" s="135"/>
      <c r="BB213" s="116"/>
      <c r="BC213" s="113"/>
      <c r="BD213" s="116"/>
      <c r="BE213" s="113"/>
      <c r="BF213" s="116"/>
      <c r="BG213" s="116"/>
      <c r="BH213" s="137">
        <f t="shared" si="38"/>
        <v>176151</v>
      </c>
      <c r="BI213" s="138">
        <f t="shared" si="39"/>
        <v>58717</v>
      </c>
      <c r="BJ213" s="126"/>
      <c r="BK213" s="91"/>
    </row>
    <row r="214" spans="1:63" ht="15.75">
      <c r="A214" s="123">
        <v>504222</v>
      </c>
      <c r="B214" s="126">
        <v>209142</v>
      </c>
      <c r="C214" s="121" t="s">
        <v>1168</v>
      </c>
      <c r="D214" s="121" t="s">
        <v>1169</v>
      </c>
      <c r="E214" s="125" t="s">
        <v>1166</v>
      </c>
      <c r="F214" s="124" t="s">
        <v>1167</v>
      </c>
      <c r="G214" s="127" t="s">
        <v>46</v>
      </c>
      <c r="H214" s="123" t="s">
        <v>597</v>
      </c>
      <c r="I214" s="126" t="s">
        <v>598</v>
      </c>
      <c r="J214" s="126" t="s">
        <v>888</v>
      </c>
      <c r="K214" s="128" t="s">
        <v>731</v>
      </c>
      <c r="L214" s="121" t="s">
        <v>518</v>
      </c>
      <c r="M214" s="143" t="s">
        <v>601</v>
      </c>
      <c r="N214" s="129">
        <v>43101</v>
      </c>
      <c r="O214" s="129">
        <v>44074</v>
      </c>
      <c r="P214" s="129">
        <v>44149</v>
      </c>
      <c r="Q214" s="144">
        <v>150000</v>
      </c>
      <c r="R214" s="132">
        <v>150000</v>
      </c>
      <c r="S214" s="132">
        <v>0</v>
      </c>
      <c r="T214" s="132">
        <v>0</v>
      </c>
      <c r="U214" s="132">
        <v>0</v>
      </c>
      <c r="V214" s="132">
        <v>0</v>
      </c>
      <c r="W214" s="132">
        <v>0</v>
      </c>
      <c r="X214" s="132"/>
      <c r="Y214" s="111">
        <v>150000</v>
      </c>
      <c r="Z214" s="133">
        <f t="shared" si="34"/>
        <v>150000</v>
      </c>
      <c r="AA214" s="133">
        <f t="shared" si="35"/>
        <v>0</v>
      </c>
      <c r="AB214" s="132"/>
      <c r="AC214" s="132">
        <v>0</v>
      </c>
      <c r="AD214" s="132">
        <v>0</v>
      </c>
      <c r="AE214" s="132">
        <v>0</v>
      </c>
      <c r="AF214" s="132">
        <v>0</v>
      </c>
      <c r="AG214" s="132"/>
      <c r="AH214" s="132"/>
      <c r="AI214" s="111">
        <v>0</v>
      </c>
      <c r="AJ214" s="134">
        <f t="shared" si="41"/>
        <v>0</v>
      </c>
      <c r="AK214" s="134">
        <f t="shared" si="36"/>
        <v>0</v>
      </c>
      <c r="AL214" s="142"/>
      <c r="AM214" s="132">
        <v>0</v>
      </c>
      <c r="AN214" s="132">
        <v>0</v>
      </c>
      <c r="AO214" s="132">
        <v>0</v>
      </c>
      <c r="AP214" s="132">
        <v>0</v>
      </c>
      <c r="AQ214" s="132">
        <v>0</v>
      </c>
      <c r="AR214" s="132">
        <v>0</v>
      </c>
      <c r="AS214" s="116">
        <v>0</v>
      </c>
      <c r="AT214" s="134">
        <f t="shared" si="40"/>
        <v>0</v>
      </c>
      <c r="AU214" s="134">
        <f t="shared" si="37"/>
        <v>0</v>
      </c>
      <c r="AV214" s="142"/>
      <c r="AW214" s="135"/>
      <c r="AX214" s="135"/>
      <c r="AY214" s="135"/>
      <c r="AZ214" s="135"/>
      <c r="BA214" s="135"/>
      <c r="BB214" s="116"/>
      <c r="BC214" s="113"/>
      <c r="BD214" s="116"/>
      <c r="BE214" s="113"/>
      <c r="BF214" s="116"/>
      <c r="BG214" s="116"/>
      <c r="BH214" s="137">
        <f t="shared" si="38"/>
        <v>150000</v>
      </c>
      <c r="BI214" s="138">
        <f t="shared" si="39"/>
        <v>0</v>
      </c>
      <c r="BJ214" s="147" t="s">
        <v>1170</v>
      </c>
      <c r="BK214" s="91"/>
    </row>
    <row r="215" spans="1:63" ht="15.75">
      <c r="A215" s="123">
        <v>504223</v>
      </c>
      <c r="B215" s="126">
        <v>209142</v>
      </c>
      <c r="C215" s="121" t="s">
        <v>1168</v>
      </c>
      <c r="D215" s="121" t="s">
        <v>1169</v>
      </c>
      <c r="E215" s="125" t="s">
        <v>1166</v>
      </c>
      <c r="F215" s="124" t="s">
        <v>1167</v>
      </c>
      <c r="G215" s="127" t="s">
        <v>46</v>
      </c>
      <c r="H215" s="123" t="s">
        <v>597</v>
      </c>
      <c r="I215" s="126" t="s">
        <v>598</v>
      </c>
      <c r="J215" s="126" t="s">
        <v>888</v>
      </c>
      <c r="K215" s="128" t="s">
        <v>731</v>
      </c>
      <c r="L215" s="121" t="s">
        <v>518</v>
      </c>
      <c r="M215" s="143" t="s">
        <v>601</v>
      </c>
      <c r="N215" s="129">
        <v>43101</v>
      </c>
      <c r="O215" s="129">
        <v>43830</v>
      </c>
      <c r="P215" s="129">
        <v>43830</v>
      </c>
      <c r="Q215" s="144">
        <v>111200</v>
      </c>
      <c r="R215" s="150"/>
      <c r="S215" s="132">
        <v>55600</v>
      </c>
      <c r="T215" s="132">
        <v>0</v>
      </c>
      <c r="U215" s="132">
        <v>0</v>
      </c>
      <c r="V215" s="132">
        <v>0</v>
      </c>
      <c r="W215" s="132">
        <v>0</v>
      </c>
      <c r="X215" s="132">
        <v>0</v>
      </c>
      <c r="Y215" s="111">
        <v>55600</v>
      </c>
      <c r="Z215" s="133">
        <f t="shared" si="34"/>
        <v>55600</v>
      </c>
      <c r="AA215" s="133">
        <f t="shared" si="35"/>
        <v>0</v>
      </c>
      <c r="AB215" s="141"/>
      <c r="AC215" s="132">
        <v>55600</v>
      </c>
      <c r="AD215" s="132">
        <v>0</v>
      </c>
      <c r="AE215" s="132">
        <v>0</v>
      </c>
      <c r="AF215" s="132">
        <v>0</v>
      </c>
      <c r="AG215" s="132">
        <v>0</v>
      </c>
      <c r="AH215" s="132"/>
      <c r="AI215" s="111">
        <v>55600</v>
      </c>
      <c r="AJ215" s="134">
        <f t="shared" si="41"/>
        <v>55600</v>
      </c>
      <c r="AK215" s="134">
        <f t="shared" si="36"/>
        <v>0</v>
      </c>
      <c r="AL215" s="142"/>
      <c r="AM215" s="132">
        <v>0</v>
      </c>
      <c r="AN215" s="132">
        <v>0</v>
      </c>
      <c r="AO215" s="132">
        <v>0</v>
      </c>
      <c r="AP215" s="132">
        <v>0</v>
      </c>
      <c r="AQ215" s="132">
        <v>0</v>
      </c>
      <c r="AR215" s="132">
        <v>0</v>
      </c>
      <c r="AS215" s="116">
        <v>0</v>
      </c>
      <c r="AT215" s="134">
        <f t="shared" si="40"/>
        <v>0</v>
      </c>
      <c r="AU215" s="134">
        <f t="shared" si="37"/>
        <v>0</v>
      </c>
      <c r="AV215" s="142"/>
      <c r="AW215" s="135"/>
      <c r="AX215" s="135"/>
      <c r="AY215" s="135"/>
      <c r="AZ215" s="135"/>
      <c r="BA215" s="135"/>
      <c r="BB215" s="116"/>
      <c r="BC215" s="113"/>
      <c r="BD215" s="116"/>
      <c r="BE215" s="113"/>
      <c r="BF215" s="116"/>
      <c r="BG215" s="116"/>
      <c r="BH215" s="137">
        <f t="shared" si="38"/>
        <v>111200</v>
      </c>
      <c r="BI215" s="138">
        <f t="shared" si="39"/>
        <v>0</v>
      </c>
      <c r="BJ215" s="147" t="s">
        <v>1171</v>
      </c>
      <c r="BK215" s="91"/>
    </row>
    <row r="216" spans="1:63" ht="15.75">
      <c r="A216" s="123">
        <v>507693</v>
      </c>
      <c r="B216" s="126">
        <v>209184</v>
      </c>
      <c r="C216" s="124" t="s">
        <v>1173</v>
      </c>
      <c r="D216" s="124" t="s">
        <v>1174</v>
      </c>
      <c r="E216" s="124" t="s">
        <v>1172</v>
      </c>
      <c r="F216" s="124" t="s">
        <v>112</v>
      </c>
      <c r="G216" s="127" t="s">
        <v>53</v>
      </c>
      <c r="H216" s="126" t="s">
        <v>628</v>
      </c>
      <c r="I216" s="126" t="s">
        <v>598</v>
      </c>
      <c r="J216" s="126" t="s">
        <v>645</v>
      </c>
      <c r="K216" s="128" t="s">
        <v>666</v>
      </c>
      <c r="L216" s="121" t="s">
        <v>519</v>
      </c>
      <c r="M216" s="123" t="s">
        <v>717</v>
      </c>
      <c r="N216" s="129">
        <v>43709</v>
      </c>
      <c r="O216" s="129">
        <v>44530</v>
      </c>
      <c r="P216" s="129">
        <v>44530</v>
      </c>
      <c r="Q216" s="130">
        <f>108000+108000</f>
        <v>216000</v>
      </c>
      <c r="R216" s="113"/>
      <c r="S216" s="132">
        <v>0</v>
      </c>
      <c r="T216" s="132">
        <v>0</v>
      </c>
      <c r="U216" s="132">
        <v>108000</v>
      </c>
      <c r="V216" s="132">
        <v>0</v>
      </c>
      <c r="W216" s="132">
        <v>0</v>
      </c>
      <c r="X216" s="132">
        <v>0</v>
      </c>
      <c r="Y216" s="111">
        <v>108000</v>
      </c>
      <c r="Z216" s="133">
        <f t="shared" si="34"/>
        <v>108000</v>
      </c>
      <c r="AA216" s="133">
        <f t="shared" si="35"/>
        <v>0</v>
      </c>
      <c r="AB216" s="141"/>
      <c r="AC216" s="132">
        <v>0</v>
      </c>
      <c r="AD216" s="132">
        <v>0</v>
      </c>
      <c r="AE216" s="132">
        <v>108000</v>
      </c>
      <c r="AF216" s="132">
        <v>0</v>
      </c>
      <c r="AG216" s="132">
        <v>0</v>
      </c>
      <c r="AH216" s="132">
        <v>0</v>
      </c>
      <c r="AI216" s="111">
        <v>108000</v>
      </c>
      <c r="AJ216" s="134">
        <f t="shared" si="41"/>
        <v>108000</v>
      </c>
      <c r="AK216" s="134">
        <f t="shared" si="36"/>
        <v>0</v>
      </c>
      <c r="AL216" s="142"/>
      <c r="AM216" s="132">
        <v>0</v>
      </c>
      <c r="AN216" s="132">
        <v>0</v>
      </c>
      <c r="AO216" s="132">
        <v>108000</v>
      </c>
      <c r="AP216" s="132">
        <v>0</v>
      </c>
      <c r="AQ216" s="135">
        <v>0</v>
      </c>
      <c r="AR216" s="135">
        <v>0</v>
      </c>
      <c r="AS216" s="116">
        <f>SUM(AM216:AR216)</f>
        <v>108000</v>
      </c>
      <c r="AT216" s="134">
        <f t="shared" si="40"/>
        <v>108000</v>
      </c>
      <c r="AU216" s="134">
        <f t="shared" si="37"/>
        <v>0</v>
      </c>
      <c r="AV216" s="142"/>
      <c r="AW216" s="135"/>
      <c r="AX216" s="135"/>
      <c r="AY216" s="135"/>
      <c r="AZ216" s="135"/>
      <c r="BA216" s="135"/>
      <c r="BB216" s="116"/>
      <c r="BC216" s="113"/>
      <c r="BD216" s="116"/>
      <c r="BE216" s="113"/>
      <c r="BF216" s="116"/>
      <c r="BG216" s="116"/>
      <c r="BH216" s="137">
        <f t="shared" si="38"/>
        <v>324000</v>
      </c>
      <c r="BI216" s="138">
        <f t="shared" si="39"/>
        <v>108000</v>
      </c>
      <c r="BJ216" s="126"/>
      <c r="BK216" s="91"/>
    </row>
    <row r="217" spans="1:63" ht="15.75">
      <c r="A217" s="123">
        <v>504877</v>
      </c>
      <c r="B217" s="126">
        <v>209194</v>
      </c>
      <c r="C217" s="148" t="s">
        <v>595</v>
      </c>
      <c r="D217" s="148" t="s">
        <v>596</v>
      </c>
      <c r="E217" s="125" t="s">
        <v>594</v>
      </c>
      <c r="F217" s="124" t="s">
        <v>216</v>
      </c>
      <c r="G217" s="127" t="s">
        <v>46</v>
      </c>
      <c r="H217" s="123" t="s">
        <v>597</v>
      </c>
      <c r="I217" s="126" t="s">
        <v>598</v>
      </c>
      <c r="J217" s="126" t="s">
        <v>599</v>
      </c>
      <c r="K217" s="128" t="s">
        <v>600</v>
      </c>
      <c r="L217" s="124" t="s">
        <v>518</v>
      </c>
      <c r="M217" s="126" t="s">
        <v>601</v>
      </c>
      <c r="N217" s="129">
        <v>43191</v>
      </c>
      <c r="O217" s="129">
        <v>44651</v>
      </c>
      <c r="P217" s="129">
        <v>44651</v>
      </c>
      <c r="Q217" s="144">
        <v>432500</v>
      </c>
      <c r="R217" s="150">
        <v>432500</v>
      </c>
      <c r="S217" s="132">
        <v>0</v>
      </c>
      <c r="T217" s="132">
        <v>0</v>
      </c>
      <c r="U217" s="132">
        <v>0</v>
      </c>
      <c r="V217" s="132">
        <v>0</v>
      </c>
      <c r="W217" s="132">
        <v>0</v>
      </c>
      <c r="X217" s="132"/>
      <c r="Y217" s="111">
        <v>432500</v>
      </c>
      <c r="Z217" s="133">
        <f t="shared" si="34"/>
        <v>432500</v>
      </c>
      <c r="AA217" s="133">
        <f t="shared" si="35"/>
        <v>0</v>
      </c>
      <c r="AB217" s="141"/>
      <c r="AC217" s="132" t="s">
        <v>602</v>
      </c>
      <c r="AD217" s="132" t="s">
        <v>602</v>
      </c>
      <c r="AE217" s="132" t="s">
        <v>602</v>
      </c>
      <c r="AF217" s="132" t="s">
        <v>602</v>
      </c>
      <c r="AG217" s="132" t="s">
        <v>602</v>
      </c>
      <c r="AH217" s="132"/>
      <c r="AI217" s="111">
        <v>0</v>
      </c>
      <c r="AJ217" s="134">
        <f t="shared" si="41"/>
        <v>0</v>
      </c>
      <c r="AK217" s="134">
        <f t="shared" si="36"/>
        <v>0</v>
      </c>
      <c r="AL217" s="142"/>
      <c r="AM217" s="132">
        <v>0</v>
      </c>
      <c r="AN217" s="132">
        <v>0</v>
      </c>
      <c r="AO217" s="132">
        <v>0</v>
      </c>
      <c r="AP217" s="132">
        <v>0</v>
      </c>
      <c r="AQ217" s="132">
        <v>0</v>
      </c>
      <c r="AR217" s="132">
        <v>0</v>
      </c>
      <c r="AS217" s="116">
        <v>0</v>
      </c>
      <c r="AT217" s="134">
        <f t="shared" si="40"/>
        <v>0</v>
      </c>
      <c r="AU217" s="134">
        <f t="shared" si="37"/>
        <v>0</v>
      </c>
      <c r="AV217" s="142"/>
      <c r="AW217" s="135"/>
      <c r="AX217" s="135"/>
      <c r="AY217" s="135"/>
      <c r="AZ217" s="135"/>
      <c r="BA217" s="135"/>
      <c r="BB217" s="116"/>
      <c r="BC217" s="113"/>
      <c r="BD217" s="116"/>
      <c r="BE217" s="113"/>
      <c r="BF217" s="116"/>
      <c r="BG217" s="116"/>
      <c r="BH217" s="137">
        <f t="shared" si="38"/>
        <v>432500</v>
      </c>
      <c r="BI217" s="138">
        <f t="shared" si="39"/>
        <v>0</v>
      </c>
      <c r="BJ217" s="147" t="s">
        <v>1176</v>
      </c>
      <c r="BK217" s="91"/>
    </row>
    <row r="218" spans="1:63" ht="15.75">
      <c r="A218" s="123">
        <v>504878</v>
      </c>
      <c r="B218" s="126">
        <v>209194</v>
      </c>
      <c r="C218" s="148" t="s">
        <v>595</v>
      </c>
      <c r="D218" s="148" t="s">
        <v>596</v>
      </c>
      <c r="E218" s="125" t="s">
        <v>594</v>
      </c>
      <c r="F218" s="124" t="s">
        <v>216</v>
      </c>
      <c r="G218" s="127" t="s">
        <v>46</v>
      </c>
      <c r="H218" s="123" t="s">
        <v>597</v>
      </c>
      <c r="I218" s="126" t="s">
        <v>598</v>
      </c>
      <c r="J218" s="126" t="s">
        <v>599</v>
      </c>
      <c r="K218" s="128" t="s">
        <v>600</v>
      </c>
      <c r="L218" s="121" t="s">
        <v>518</v>
      </c>
      <c r="M218" s="123" t="s">
        <v>601</v>
      </c>
      <c r="N218" s="129">
        <v>43191</v>
      </c>
      <c r="O218" s="129">
        <v>43921</v>
      </c>
      <c r="P218" s="129">
        <v>43921</v>
      </c>
      <c r="Q218" s="144">
        <f>55600+55600</f>
        <v>111200</v>
      </c>
      <c r="R218" s="150"/>
      <c r="S218" s="132">
        <v>55600</v>
      </c>
      <c r="T218" s="132">
        <v>0</v>
      </c>
      <c r="U218" s="132">
        <v>0</v>
      </c>
      <c r="V218" s="132">
        <v>0</v>
      </c>
      <c r="W218" s="132">
        <v>0</v>
      </c>
      <c r="X218" s="132">
        <v>0</v>
      </c>
      <c r="Y218" s="111">
        <v>55600</v>
      </c>
      <c r="Z218" s="133">
        <f t="shared" si="34"/>
        <v>55600</v>
      </c>
      <c r="AA218" s="133">
        <f t="shared" si="35"/>
        <v>0</v>
      </c>
      <c r="AB218" s="141"/>
      <c r="AC218" s="132">
        <v>55600</v>
      </c>
      <c r="AD218" s="132">
        <v>0</v>
      </c>
      <c r="AE218" s="132">
        <v>0</v>
      </c>
      <c r="AF218" s="132">
        <v>0</v>
      </c>
      <c r="AG218" s="132">
        <v>0</v>
      </c>
      <c r="AH218" s="132"/>
      <c r="AI218" s="111">
        <v>55600</v>
      </c>
      <c r="AJ218" s="134">
        <f t="shared" si="41"/>
        <v>55600</v>
      </c>
      <c r="AK218" s="134">
        <f t="shared" si="36"/>
        <v>0</v>
      </c>
      <c r="AL218" s="142"/>
      <c r="AM218" s="132">
        <v>0</v>
      </c>
      <c r="AN218" s="132">
        <v>0</v>
      </c>
      <c r="AO218" s="132">
        <v>0</v>
      </c>
      <c r="AP218" s="132">
        <v>0</v>
      </c>
      <c r="AQ218" s="132">
        <v>0</v>
      </c>
      <c r="AR218" s="132">
        <v>0</v>
      </c>
      <c r="AS218" s="116">
        <v>0</v>
      </c>
      <c r="AT218" s="134">
        <f t="shared" si="40"/>
        <v>0</v>
      </c>
      <c r="AU218" s="134">
        <f t="shared" si="37"/>
        <v>0</v>
      </c>
      <c r="AV218" s="142"/>
      <c r="AW218" s="135"/>
      <c r="AX218" s="135"/>
      <c r="AY218" s="135"/>
      <c r="AZ218" s="135"/>
      <c r="BA218" s="135"/>
      <c r="BB218" s="116"/>
      <c r="BC218" s="113"/>
      <c r="BD218" s="116"/>
      <c r="BE218" s="113"/>
      <c r="BF218" s="116"/>
      <c r="BG218" s="116"/>
      <c r="BH218" s="137">
        <f t="shared" si="38"/>
        <v>111200</v>
      </c>
      <c r="BI218" s="138">
        <f t="shared" si="39"/>
        <v>0</v>
      </c>
      <c r="BJ218" s="147"/>
      <c r="BK218" s="91"/>
    </row>
    <row r="219" spans="1:63" ht="15.75">
      <c r="A219" s="123">
        <v>509653</v>
      </c>
      <c r="B219" s="163">
        <v>209194</v>
      </c>
      <c r="C219" s="148" t="s">
        <v>595</v>
      </c>
      <c r="D219" s="148" t="s">
        <v>596</v>
      </c>
      <c r="E219" s="125" t="s">
        <v>594</v>
      </c>
      <c r="F219" s="163" t="s">
        <v>216</v>
      </c>
      <c r="G219" s="127" t="s">
        <v>46</v>
      </c>
      <c r="H219" s="164" t="s">
        <v>597</v>
      </c>
      <c r="I219" s="163" t="s">
        <v>598</v>
      </c>
      <c r="J219" s="163" t="s">
        <v>599</v>
      </c>
      <c r="K219" s="128" t="s">
        <v>600</v>
      </c>
      <c r="L219" s="121" t="s">
        <v>19</v>
      </c>
      <c r="M219" s="123" t="s">
        <v>949</v>
      </c>
      <c r="N219" s="129">
        <v>44044</v>
      </c>
      <c r="O219" s="129">
        <v>44408</v>
      </c>
      <c r="P219" s="129">
        <v>44408</v>
      </c>
      <c r="Q219" s="144">
        <v>90000</v>
      </c>
      <c r="R219" s="113"/>
      <c r="S219" s="132">
        <v>65000</v>
      </c>
      <c r="T219" s="132">
        <v>0</v>
      </c>
      <c r="U219" s="132">
        <v>23000</v>
      </c>
      <c r="V219" s="132">
        <v>0</v>
      </c>
      <c r="W219" s="132">
        <v>2000</v>
      </c>
      <c r="X219" s="132">
        <v>0</v>
      </c>
      <c r="Y219" s="111">
        <v>90000</v>
      </c>
      <c r="Z219" s="133">
        <f t="shared" ref="Z219:Z250" si="42">SUM(R219:X219)</f>
        <v>90000</v>
      </c>
      <c r="AA219" s="133">
        <f t="shared" si="35"/>
        <v>0</v>
      </c>
      <c r="AB219" s="141"/>
      <c r="AC219" s="132">
        <v>65000</v>
      </c>
      <c r="AD219" s="132">
        <v>0</v>
      </c>
      <c r="AE219" s="132">
        <v>23000</v>
      </c>
      <c r="AF219" s="132">
        <v>0</v>
      </c>
      <c r="AG219" s="132">
        <v>2000</v>
      </c>
      <c r="AH219" s="132">
        <v>0</v>
      </c>
      <c r="AI219" s="111">
        <v>90000</v>
      </c>
      <c r="AJ219" s="134">
        <f t="shared" si="41"/>
        <v>90000</v>
      </c>
      <c r="AK219" s="134">
        <f t="shared" si="36"/>
        <v>0</v>
      </c>
      <c r="AL219" s="142"/>
      <c r="AM219" s="132">
        <v>0</v>
      </c>
      <c r="AN219" s="132">
        <v>0</v>
      </c>
      <c r="AO219" s="132">
        <v>0</v>
      </c>
      <c r="AP219" s="132">
        <v>0</v>
      </c>
      <c r="AQ219" s="132">
        <v>0</v>
      </c>
      <c r="AR219" s="132">
        <v>0</v>
      </c>
      <c r="AS219" s="116">
        <v>0</v>
      </c>
      <c r="AT219" s="134">
        <f t="shared" si="40"/>
        <v>0</v>
      </c>
      <c r="AU219" s="134">
        <f t="shared" si="37"/>
        <v>0</v>
      </c>
      <c r="AV219" s="142"/>
      <c r="AW219" s="135"/>
      <c r="AX219" s="135"/>
      <c r="AY219" s="135"/>
      <c r="AZ219" s="135"/>
      <c r="BA219" s="135"/>
      <c r="BB219" s="116"/>
      <c r="BC219" s="113"/>
      <c r="BD219" s="116"/>
      <c r="BE219" s="113"/>
      <c r="BF219" s="116"/>
      <c r="BG219" s="116"/>
      <c r="BH219" s="137">
        <f t="shared" si="38"/>
        <v>180000</v>
      </c>
      <c r="BI219" s="138">
        <f t="shared" si="39"/>
        <v>90000</v>
      </c>
      <c r="BJ219" s="126"/>
      <c r="BK219" s="91"/>
    </row>
    <row r="220" spans="1:63" ht="15.75">
      <c r="A220" s="171">
        <v>504839</v>
      </c>
      <c r="B220" s="126">
        <v>209210</v>
      </c>
      <c r="C220" s="148" t="s">
        <v>1178</v>
      </c>
      <c r="D220" s="148" t="s">
        <v>1179</v>
      </c>
      <c r="E220" s="125" t="s">
        <v>1177</v>
      </c>
      <c r="F220" s="124" t="s">
        <v>66</v>
      </c>
      <c r="G220" s="172" t="s">
        <v>68</v>
      </c>
      <c r="H220" s="123" t="s">
        <v>597</v>
      </c>
      <c r="I220" s="126" t="s">
        <v>598</v>
      </c>
      <c r="J220" s="126" t="s">
        <v>888</v>
      </c>
      <c r="K220" s="128" t="s">
        <v>731</v>
      </c>
      <c r="L220" s="124" t="s">
        <v>518</v>
      </c>
      <c r="M220" s="143" t="s">
        <v>1146</v>
      </c>
      <c r="N220" s="129">
        <v>43070</v>
      </c>
      <c r="O220" s="129">
        <v>44530</v>
      </c>
      <c r="P220" s="129">
        <v>44530</v>
      </c>
      <c r="Q220" s="144">
        <f>300000+850000+710760+87240</f>
        <v>1948000</v>
      </c>
      <c r="R220" s="150">
        <v>100000</v>
      </c>
      <c r="S220" s="132">
        <v>0</v>
      </c>
      <c r="T220" s="132">
        <v>200000</v>
      </c>
      <c r="U220" s="132">
        <v>0</v>
      </c>
      <c r="V220" s="132">
        <v>0</v>
      </c>
      <c r="W220" s="132">
        <v>0</v>
      </c>
      <c r="X220" s="132"/>
      <c r="Y220" s="111">
        <v>300000</v>
      </c>
      <c r="Z220" s="133">
        <f t="shared" si="42"/>
        <v>300000</v>
      </c>
      <c r="AA220" s="133">
        <f t="shared" si="35"/>
        <v>0</v>
      </c>
      <c r="AB220" s="141">
        <v>500000</v>
      </c>
      <c r="AC220" s="132">
        <v>0</v>
      </c>
      <c r="AD220" s="132">
        <v>350000</v>
      </c>
      <c r="AE220" s="132">
        <v>0</v>
      </c>
      <c r="AF220" s="132">
        <v>0</v>
      </c>
      <c r="AG220" s="132"/>
      <c r="AH220" s="132"/>
      <c r="AI220" s="111">
        <v>850000</v>
      </c>
      <c r="AJ220" s="134">
        <f t="shared" si="41"/>
        <v>850000</v>
      </c>
      <c r="AK220" s="134">
        <f t="shared" si="36"/>
        <v>0</v>
      </c>
      <c r="AL220" s="142">
        <v>500000</v>
      </c>
      <c r="AM220" s="135">
        <v>0</v>
      </c>
      <c r="AN220" s="135">
        <v>210760</v>
      </c>
      <c r="AO220" s="135">
        <v>0</v>
      </c>
      <c r="AP220" s="135"/>
      <c r="AQ220" s="135">
        <v>0</v>
      </c>
      <c r="AR220" s="135"/>
      <c r="AS220" s="116">
        <v>710760</v>
      </c>
      <c r="AT220" s="134">
        <f t="shared" si="40"/>
        <v>710760</v>
      </c>
      <c r="AU220" s="134">
        <f t="shared" si="37"/>
        <v>0</v>
      </c>
      <c r="AV220" s="135">
        <v>87240</v>
      </c>
      <c r="AW220" s="135"/>
      <c r="AX220" s="135"/>
      <c r="AY220" s="135"/>
      <c r="AZ220" s="135"/>
      <c r="BA220" s="135"/>
      <c r="BB220" s="116">
        <v>87240</v>
      </c>
      <c r="BC220" s="113"/>
      <c r="BD220" s="116"/>
      <c r="BE220" s="113"/>
      <c r="BF220" s="116"/>
      <c r="BG220" s="116"/>
      <c r="BH220" s="137">
        <f t="shared" si="38"/>
        <v>1948000</v>
      </c>
      <c r="BI220" s="138">
        <f t="shared" si="39"/>
        <v>0</v>
      </c>
      <c r="BJ220" s="147" t="s">
        <v>1180</v>
      </c>
      <c r="BK220" s="91"/>
    </row>
    <row r="221" spans="1:63" ht="15.75">
      <c r="A221" s="171">
        <v>504875</v>
      </c>
      <c r="B221" s="126">
        <v>209210</v>
      </c>
      <c r="C221" s="148" t="s">
        <v>1178</v>
      </c>
      <c r="D221" s="148" t="s">
        <v>1179</v>
      </c>
      <c r="E221" s="125" t="s">
        <v>1177</v>
      </c>
      <c r="F221" s="124" t="s">
        <v>66</v>
      </c>
      <c r="G221" s="172" t="s">
        <v>68</v>
      </c>
      <c r="H221" s="123" t="s">
        <v>597</v>
      </c>
      <c r="I221" s="126" t="s">
        <v>598</v>
      </c>
      <c r="J221" s="126" t="s">
        <v>888</v>
      </c>
      <c r="K221" s="128" t="s">
        <v>731</v>
      </c>
      <c r="L221" s="124" t="s">
        <v>518</v>
      </c>
      <c r="M221" s="143" t="s">
        <v>1146</v>
      </c>
      <c r="N221" s="129">
        <v>43070</v>
      </c>
      <c r="O221" s="129">
        <v>44530</v>
      </c>
      <c r="P221" s="129">
        <v>44530</v>
      </c>
      <c r="Q221" s="144">
        <v>462000</v>
      </c>
      <c r="R221" s="150"/>
      <c r="S221" s="132">
        <v>110000</v>
      </c>
      <c r="T221" s="132"/>
      <c r="U221" s="132">
        <v>0</v>
      </c>
      <c r="V221" s="132">
        <v>0</v>
      </c>
      <c r="W221" s="132">
        <v>0</v>
      </c>
      <c r="X221" s="132">
        <v>0</v>
      </c>
      <c r="Y221" s="111">
        <v>110000</v>
      </c>
      <c r="Z221" s="133">
        <f t="shared" si="42"/>
        <v>110000</v>
      </c>
      <c r="AA221" s="133">
        <f t="shared" si="35"/>
        <v>0</v>
      </c>
      <c r="AB221" s="141"/>
      <c r="AC221" s="132">
        <v>150000</v>
      </c>
      <c r="AD221" s="132">
        <v>0</v>
      </c>
      <c r="AE221" s="132">
        <v>0</v>
      </c>
      <c r="AF221" s="132">
        <v>0</v>
      </c>
      <c r="AG221" s="132">
        <v>0</v>
      </c>
      <c r="AH221" s="132"/>
      <c r="AI221" s="111">
        <v>150000</v>
      </c>
      <c r="AJ221" s="134">
        <f t="shared" si="41"/>
        <v>150000</v>
      </c>
      <c r="AK221" s="134">
        <f t="shared" si="36"/>
        <v>0</v>
      </c>
      <c r="AL221" s="142"/>
      <c r="AM221" s="135">
        <v>154500</v>
      </c>
      <c r="AN221" s="135">
        <v>0</v>
      </c>
      <c r="AO221" s="135">
        <v>0</v>
      </c>
      <c r="AP221" s="135"/>
      <c r="AQ221" s="135">
        <v>0</v>
      </c>
      <c r="AR221" s="135">
        <v>0</v>
      </c>
      <c r="AS221" s="116">
        <v>154500</v>
      </c>
      <c r="AT221" s="134">
        <f t="shared" si="40"/>
        <v>154500</v>
      </c>
      <c r="AU221" s="134">
        <f t="shared" si="37"/>
        <v>0</v>
      </c>
      <c r="AV221" s="142"/>
      <c r="AW221" s="135">
        <v>47500</v>
      </c>
      <c r="AX221" s="135"/>
      <c r="AY221" s="135"/>
      <c r="AZ221" s="135"/>
      <c r="BA221" s="135"/>
      <c r="BB221" s="116">
        <v>47500</v>
      </c>
      <c r="BC221" s="113"/>
      <c r="BD221" s="116"/>
      <c r="BE221" s="113"/>
      <c r="BF221" s="116"/>
      <c r="BG221" s="116"/>
      <c r="BH221" s="137">
        <f t="shared" si="38"/>
        <v>462000</v>
      </c>
      <c r="BI221" s="138">
        <f t="shared" si="39"/>
        <v>0</v>
      </c>
      <c r="BJ221" s="147" t="s">
        <v>623</v>
      </c>
      <c r="BK221" s="91"/>
    </row>
    <row r="222" spans="1:63" ht="15.75">
      <c r="A222" s="123">
        <v>507638</v>
      </c>
      <c r="B222" s="126">
        <v>209210</v>
      </c>
      <c r="C222" s="124" t="s">
        <v>1181</v>
      </c>
      <c r="D222" s="124" t="s">
        <v>1179</v>
      </c>
      <c r="E222" s="124" t="s">
        <v>1177</v>
      </c>
      <c r="F222" s="124" t="s">
        <v>66</v>
      </c>
      <c r="G222" s="127" t="s">
        <v>68</v>
      </c>
      <c r="H222" s="126" t="s">
        <v>628</v>
      </c>
      <c r="I222" s="126" t="s">
        <v>598</v>
      </c>
      <c r="J222" s="126" t="s">
        <v>888</v>
      </c>
      <c r="K222" s="128" t="s">
        <v>731</v>
      </c>
      <c r="L222" s="121" t="s">
        <v>519</v>
      </c>
      <c r="M222" s="123" t="s">
        <v>791</v>
      </c>
      <c r="N222" s="129">
        <v>43709</v>
      </c>
      <c r="O222" s="129">
        <v>44530</v>
      </c>
      <c r="P222" s="129">
        <v>44530</v>
      </c>
      <c r="Q222" s="130">
        <f>58000+62000</f>
        <v>120000</v>
      </c>
      <c r="R222" s="113"/>
      <c r="S222" s="132">
        <v>29196</v>
      </c>
      <c r="T222" s="132">
        <v>7000</v>
      </c>
      <c r="U222" s="132">
        <v>21804</v>
      </c>
      <c r="V222" s="132"/>
      <c r="W222" s="132"/>
      <c r="X222" s="132"/>
      <c r="Y222" s="111">
        <v>58000</v>
      </c>
      <c r="Z222" s="133">
        <f t="shared" si="42"/>
        <v>58000</v>
      </c>
      <c r="AA222" s="133">
        <f t="shared" si="35"/>
        <v>0</v>
      </c>
      <c r="AB222" s="141"/>
      <c r="AC222" s="132">
        <v>29779</v>
      </c>
      <c r="AD222" s="132">
        <v>7000</v>
      </c>
      <c r="AE222" s="132">
        <v>25221</v>
      </c>
      <c r="AF222" s="132"/>
      <c r="AG222" s="132"/>
      <c r="AH222" s="132"/>
      <c r="AI222" s="111">
        <v>62000</v>
      </c>
      <c r="AJ222" s="134">
        <f t="shared" si="41"/>
        <v>62000</v>
      </c>
      <c r="AK222" s="134">
        <f t="shared" si="36"/>
        <v>0</v>
      </c>
      <c r="AL222" s="142"/>
      <c r="AM222" s="132">
        <v>30375</v>
      </c>
      <c r="AN222" s="132">
        <v>0</v>
      </c>
      <c r="AO222" s="132">
        <v>29625</v>
      </c>
      <c r="AP222" s="132">
        <v>0</v>
      </c>
      <c r="AQ222" s="132">
        <v>0</v>
      </c>
      <c r="AR222" s="132">
        <v>0</v>
      </c>
      <c r="AS222" s="116">
        <f>SUM(AM222:AR222)</f>
        <v>60000</v>
      </c>
      <c r="AT222" s="134">
        <f t="shared" si="40"/>
        <v>60000</v>
      </c>
      <c r="AU222" s="134">
        <f t="shared" si="37"/>
        <v>0</v>
      </c>
      <c r="AV222" s="142"/>
      <c r="AW222" s="135"/>
      <c r="AX222" s="135"/>
      <c r="AY222" s="135"/>
      <c r="AZ222" s="135"/>
      <c r="BA222" s="135"/>
      <c r="BB222" s="116"/>
      <c r="BC222" s="113"/>
      <c r="BD222" s="116"/>
      <c r="BE222" s="113"/>
      <c r="BF222" s="116"/>
      <c r="BG222" s="116"/>
      <c r="BH222" s="137">
        <f t="shared" si="38"/>
        <v>180000</v>
      </c>
      <c r="BI222" s="138">
        <f t="shared" si="39"/>
        <v>60000</v>
      </c>
      <c r="BJ222" s="126"/>
      <c r="BK222" s="91"/>
    </row>
    <row r="223" spans="1:63" ht="15.75">
      <c r="A223" s="123">
        <v>504615</v>
      </c>
      <c r="B223" s="126">
        <v>209345</v>
      </c>
      <c r="C223" s="124" t="s">
        <v>1184</v>
      </c>
      <c r="D223" s="124" t="s">
        <v>1185</v>
      </c>
      <c r="E223" s="125" t="s">
        <v>1182</v>
      </c>
      <c r="F223" s="124" t="s">
        <v>1183</v>
      </c>
      <c r="G223" s="127" t="s">
        <v>68</v>
      </c>
      <c r="H223" s="126" t="s">
        <v>597</v>
      </c>
      <c r="I223" s="126" t="s">
        <v>598</v>
      </c>
      <c r="J223" s="126" t="s">
        <v>672</v>
      </c>
      <c r="K223" s="128" t="s">
        <v>673</v>
      </c>
      <c r="L223" s="121" t="s">
        <v>19</v>
      </c>
      <c r="M223" s="123" t="s">
        <v>1186</v>
      </c>
      <c r="N223" s="129">
        <v>43191</v>
      </c>
      <c r="O223" s="129">
        <v>43769</v>
      </c>
      <c r="P223" s="129">
        <v>43997</v>
      </c>
      <c r="Q223" s="130">
        <f>100000-51106</f>
        <v>48894</v>
      </c>
      <c r="R223" s="113"/>
      <c r="S223" s="132">
        <v>28144</v>
      </c>
      <c r="T223" s="132">
        <v>0</v>
      </c>
      <c r="U223" s="132">
        <v>15000</v>
      </c>
      <c r="V223" s="132">
        <v>0</v>
      </c>
      <c r="W223" s="132">
        <v>5750</v>
      </c>
      <c r="X223" s="132">
        <v>0</v>
      </c>
      <c r="Y223" s="111">
        <f>SUM(R223:X223)</f>
        <v>48894</v>
      </c>
      <c r="Z223" s="133">
        <f t="shared" si="42"/>
        <v>48894</v>
      </c>
      <c r="AA223" s="133">
        <f t="shared" si="35"/>
        <v>0</v>
      </c>
      <c r="AB223" s="173"/>
      <c r="AC223" s="174">
        <v>0</v>
      </c>
      <c r="AD223" s="174">
        <v>0</v>
      </c>
      <c r="AE223" s="174">
        <v>0</v>
      </c>
      <c r="AF223" s="174">
        <v>0</v>
      </c>
      <c r="AG223" s="174">
        <v>0</v>
      </c>
      <c r="AH223" s="174"/>
      <c r="AI223" s="111">
        <v>0</v>
      </c>
      <c r="AJ223" s="134">
        <f t="shared" si="41"/>
        <v>0</v>
      </c>
      <c r="AK223" s="134">
        <f t="shared" si="36"/>
        <v>0</v>
      </c>
      <c r="AL223" s="145"/>
      <c r="AM223" s="132" t="s">
        <v>602</v>
      </c>
      <c r="AN223" s="132" t="s">
        <v>602</v>
      </c>
      <c r="AO223" s="132" t="s">
        <v>602</v>
      </c>
      <c r="AP223" s="132" t="s">
        <v>602</v>
      </c>
      <c r="AQ223" s="132" t="s">
        <v>602</v>
      </c>
      <c r="AR223" s="135"/>
      <c r="AS223" s="116"/>
      <c r="AT223" s="134">
        <f t="shared" si="40"/>
        <v>0</v>
      </c>
      <c r="AU223" s="134">
        <f t="shared" si="37"/>
        <v>0</v>
      </c>
      <c r="AV223" s="142"/>
      <c r="AW223" s="135"/>
      <c r="AX223" s="135"/>
      <c r="AY223" s="135"/>
      <c r="AZ223" s="135"/>
      <c r="BA223" s="135"/>
      <c r="BB223" s="116"/>
      <c r="BC223" s="113"/>
      <c r="BD223" s="116"/>
      <c r="BE223" s="113"/>
      <c r="BF223" s="116"/>
      <c r="BG223" s="116"/>
      <c r="BH223" s="137">
        <f t="shared" si="38"/>
        <v>48894</v>
      </c>
      <c r="BI223" s="138">
        <f t="shared" si="39"/>
        <v>0</v>
      </c>
      <c r="BJ223" s="126" t="s">
        <v>1187</v>
      </c>
      <c r="BK223" s="91"/>
    </row>
    <row r="224" spans="1:63" ht="15.75">
      <c r="A224" s="152">
        <v>505362</v>
      </c>
      <c r="B224" s="126">
        <v>209346</v>
      </c>
      <c r="C224" s="148" t="s">
        <v>1189</v>
      </c>
      <c r="D224" s="148" t="s">
        <v>1190</v>
      </c>
      <c r="E224" s="125" t="s">
        <v>1188</v>
      </c>
      <c r="F224" s="124" t="s">
        <v>130</v>
      </c>
      <c r="G224" s="127" t="s">
        <v>53</v>
      </c>
      <c r="H224" s="149" t="s">
        <v>597</v>
      </c>
      <c r="I224" s="126" t="s">
        <v>598</v>
      </c>
      <c r="J224" s="126" t="s">
        <v>635</v>
      </c>
      <c r="K224" s="128" t="s">
        <v>911</v>
      </c>
      <c r="L224" s="124" t="s">
        <v>518</v>
      </c>
      <c r="M224" s="143" t="s">
        <v>601</v>
      </c>
      <c r="N224" s="129">
        <v>43282</v>
      </c>
      <c r="O224" s="129">
        <v>44377</v>
      </c>
      <c r="P224" s="129">
        <v>44377</v>
      </c>
      <c r="Q224" s="144">
        <f>300000+150000</f>
        <v>450000</v>
      </c>
      <c r="R224" s="132">
        <v>150000</v>
      </c>
      <c r="S224" s="132"/>
      <c r="T224" s="132"/>
      <c r="U224" s="132"/>
      <c r="V224" s="132">
        <v>0</v>
      </c>
      <c r="W224" s="132"/>
      <c r="X224" s="132"/>
      <c r="Y224" s="111">
        <v>150000</v>
      </c>
      <c r="Z224" s="133">
        <f t="shared" si="42"/>
        <v>150000</v>
      </c>
      <c r="AA224" s="133">
        <f t="shared" si="35"/>
        <v>0</v>
      </c>
      <c r="AB224" s="132">
        <v>150000</v>
      </c>
      <c r="AC224" s="132"/>
      <c r="AD224" s="132"/>
      <c r="AE224" s="132"/>
      <c r="AF224" s="132"/>
      <c r="AG224" s="132"/>
      <c r="AH224" s="132"/>
      <c r="AI224" s="111">
        <v>150000</v>
      </c>
      <c r="AJ224" s="134">
        <f t="shared" si="41"/>
        <v>150000</v>
      </c>
      <c r="AK224" s="134">
        <f t="shared" si="36"/>
        <v>0</v>
      </c>
      <c r="AL224" s="142">
        <v>150000</v>
      </c>
      <c r="AM224" s="132">
        <v>0</v>
      </c>
      <c r="AN224" s="132">
        <v>0</v>
      </c>
      <c r="AO224" s="132">
        <v>0</v>
      </c>
      <c r="AP224" s="132">
        <v>0</v>
      </c>
      <c r="AQ224" s="132">
        <v>0</v>
      </c>
      <c r="AR224" s="132">
        <v>0</v>
      </c>
      <c r="AS224" s="116">
        <v>150000</v>
      </c>
      <c r="AT224" s="134">
        <f t="shared" si="40"/>
        <v>150000</v>
      </c>
      <c r="AU224" s="134">
        <f t="shared" si="37"/>
        <v>0</v>
      </c>
      <c r="AV224" s="142">
        <v>50000</v>
      </c>
      <c r="AW224" s="135"/>
      <c r="AX224" s="135"/>
      <c r="AY224" s="135"/>
      <c r="AZ224" s="135"/>
      <c r="BA224" s="135"/>
      <c r="BB224" s="116">
        <f>SUM(AV224:BA224)</f>
        <v>50000</v>
      </c>
      <c r="BC224" s="113"/>
      <c r="BD224" s="116"/>
      <c r="BE224" s="113"/>
      <c r="BF224" s="116"/>
      <c r="BG224" s="116"/>
      <c r="BH224" s="137">
        <f t="shared" si="38"/>
        <v>500000</v>
      </c>
      <c r="BI224" s="138">
        <f t="shared" si="39"/>
        <v>50000</v>
      </c>
      <c r="BJ224" s="147"/>
      <c r="BK224" s="91"/>
    </row>
    <row r="225" spans="1:63" ht="15.75">
      <c r="A225" s="123">
        <v>506473</v>
      </c>
      <c r="B225" s="126">
        <v>209346</v>
      </c>
      <c r="C225" s="123" t="s">
        <v>1189</v>
      </c>
      <c r="D225" s="121" t="s">
        <v>1190</v>
      </c>
      <c r="E225" s="125" t="s">
        <v>1188</v>
      </c>
      <c r="F225" s="124" t="s">
        <v>130</v>
      </c>
      <c r="G225" s="127" t="s">
        <v>53</v>
      </c>
      <c r="H225" s="149" t="s">
        <v>597</v>
      </c>
      <c r="I225" s="126" t="s">
        <v>598</v>
      </c>
      <c r="J225" s="126" t="s">
        <v>635</v>
      </c>
      <c r="K225" s="128" t="s">
        <v>911</v>
      </c>
      <c r="L225" s="121" t="s">
        <v>19</v>
      </c>
      <c r="M225" s="123" t="s">
        <v>1191</v>
      </c>
      <c r="N225" s="129">
        <v>43556</v>
      </c>
      <c r="O225" s="129">
        <v>43921</v>
      </c>
      <c r="P225" s="129">
        <v>43921</v>
      </c>
      <c r="Q225" s="144">
        <v>75000</v>
      </c>
      <c r="R225" s="150"/>
      <c r="S225" s="132">
        <v>0</v>
      </c>
      <c r="T225" s="132">
        <v>0</v>
      </c>
      <c r="U225" s="132">
        <v>44000</v>
      </c>
      <c r="V225" s="132">
        <v>0</v>
      </c>
      <c r="W225" s="132">
        <v>31000</v>
      </c>
      <c r="X225" s="132">
        <v>0</v>
      </c>
      <c r="Y225" s="111">
        <v>75000</v>
      </c>
      <c r="Z225" s="133">
        <f t="shared" si="42"/>
        <v>75000</v>
      </c>
      <c r="AA225" s="133">
        <f t="shared" si="35"/>
        <v>0</v>
      </c>
      <c r="AB225" s="141"/>
      <c r="AC225" s="132" t="s">
        <v>602</v>
      </c>
      <c r="AD225" s="132" t="s">
        <v>602</v>
      </c>
      <c r="AE225" s="132" t="s">
        <v>602</v>
      </c>
      <c r="AF225" s="132" t="s">
        <v>602</v>
      </c>
      <c r="AG225" s="132" t="s">
        <v>602</v>
      </c>
      <c r="AH225" s="159"/>
      <c r="AI225" s="111"/>
      <c r="AJ225" s="134">
        <f t="shared" si="41"/>
        <v>0</v>
      </c>
      <c r="AK225" s="134">
        <f t="shared" si="36"/>
        <v>0</v>
      </c>
      <c r="AL225" s="145"/>
      <c r="AM225" s="132">
        <v>0</v>
      </c>
      <c r="AN225" s="132">
        <v>0</v>
      </c>
      <c r="AO225" s="132">
        <v>0</v>
      </c>
      <c r="AP225" s="132">
        <v>0</v>
      </c>
      <c r="AQ225" s="132">
        <v>0</v>
      </c>
      <c r="AR225" s="132">
        <v>0</v>
      </c>
      <c r="AS225" s="116">
        <f>SUM(AM225:AR225)</f>
        <v>0</v>
      </c>
      <c r="AT225" s="134">
        <f t="shared" si="40"/>
        <v>0</v>
      </c>
      <c r="AU225" s="134">
        <f t="shared" si="37"/>
        <v>0</v>
      </c>
      <c r="AV225" s="121"/>
      <c r="AW225" s="153"/>
      <c r="AX225" s="153"/>
      <c r="AY225" s="153"/>
      <c r="AZ225" s="153"/>
      <c r="BA225" s="153"/>
      <c r="BB225" s="154"/>
      <c r="BC225" s="99"/>
      <c r="BD225" s="154"/>
      <c r="BE225" s="99"/>
      <c r="BF225" s="154"/>
      <c r="BG225" s="154"/>
      <c r="BH225" s="137">
        <f t="shared" si="38"/>
        <v>75000</v>
      </c>
      <c r="BI225" s="138">
        <f t="shared" si="39"/>
        <v>0</v>
      </c>
      <c r="BJ225" s="155"/>
      <c r="BK225" s="91"/>
    </row>
    <row r="226" spans="1:63" ht="15.75">
      <c r="A226" s="123">
        <v>507779</v>
      </c>
      <c r="B226" s="126">
        <v>209346</v>
      </c>
      <c r="C226" s="123" t="s">
        <v>1189</v>
      </c>
      <c r="D226" s="121" t="s">
        <v>1190</v>
      </c>
      <c r="E226" s="125" t="s">
        <v>1188</v>
      </c>
      <c r="F226" s="124" t="s">
        <v>130</v>
      </c>
      <c r="G226" s="127" t="s">
        <v>53</v>
      </c>
      <c r="H226" s="149" t="s">
        <v>628</v>
      </c>
      <c r="I226" s="126" t="s">
        <v>598</v>
      </c>
      <c r="J226" s="126" t="s">
        <v>635</v>
      </c>
      <c r="K226" s="128" t="s">
        <v>911</v>
      </c>
      <c r="L226" s="121" t="s">
        <v>519</v>
      </c>
      <c r="M226" s="123" t="s">
        <v>641</v>
      </c>
      <c r="N226" s="129">
        <v>43709</v>
      </c>
      <c r="O226" s="129">
        <v>44530</v>
      </c>
      <c r="P226" s="129">
        <v>44530</v>
      </c>
      <c r="Q226" s="130">
        <f>80000+80000</f>
        <v>160000</v>
      </c>
      <c r="R226" s="113"/>
      <c r="S226" s="132">
        <v>43000</v>
      </c>
      <c r="T226" s="132">
        <v>0</v>
      </c>
      <c r="U226" s="132">
        <v>21000</v>
      </c>
      <c r="V226" s="132">
        <v>0</v>
      </c>
      <c r="W226" s="132">
        <v>16000</v>
      </c>
      <c r="X226" s="132">
        <v>0</v>
      </c>
      <c r="Y226" s="111">
        <v>80000</v>
      </c>
      <c r="Z226" s="133">
        <f t="shared" si="42"/>
        <v>80000</v>
      </c>
      <c r="AA226" s="133">
        <f t="shared" si="35"/>
        <v>0</v>
      </c>
      <c r="AB226" s="141"/>
      <c r="AC226" s="132">
        <v>43000</v>
      </c>
      <c r="AD226" s="132">
        <v>0</v>
      </c>
      <c r="AE226" s="132">
        <v>21000</v>
      </c>
      <c r="AF226" s="132">
        <v>0</v>
      </c>
      <c r="AG226" s="132">
        <v>16000</v>
      </c>
      <c r="AH226" s="132">
        <v>0</v>
      </c>
      <c r="AI226" s="111">
        <v>80000</v>
      </c>
      <c r="AJ226" s="134">
        <f t="shared" si="41"/>
        <v>80000</v>
      </c>
      <c r="AK226" s="134">
        <f t="shared" si="36"/>
        <v>0</v>
      </c>
      <c r="AL226" s="121"/>
      <c r="AM226" s="132">
        <v>43000</v>
      </c>
      <c r="AN226" s="132">
        <v>0</v>
      </c>
      <c r="AO226" s="132">
        <v>21000</v>
      </c>
      <c r="AP226" s="132">
        <v>0</v>
      </c>
      <c r="AQ226" s="132">
        <v>16000</v>
      </c>
      <c r="AR226" s="132">
        <v>0</v>
      </c>
      <c r="AS226" s="116">
        <f>SUM(AM226:AR226)</f>
        <v>80000</v>
      </c>
      <c r="AT226" s="134">
        <f t="shared" si="40"/>
        <v>80000</v>
      </c>
      <c r="AU226" s="134">
        <f t="shared" si="37"/>
        <v>0</v>
      </c>
      <c r="AV226" s="121"/>
      <c r="AW226" s="153"/>
      <c r="AX226" s="153"/>
      <c r="AY226" s="153"/>
      <c r="AZ226" s="153"/>
      <c r="BA226" s="153"/>
      <c r="BB226" s="154"/>
      <c r="BC226" s="99"/>
      <c r="BD226" s="154"/>
      <c r="BE226" s="99"/>
      <c r="BF226" s="154"/>
      <c r="BG226" s="154"/>
      <c r="BH226" s="137">
        <f t="shared" si="38"/>
        <v>240000</v>
      </c>
      <c r="BI226" s="138">
        <f t="shared" si="39"/>
        <v>80000</v>
      </c>
      <c r="BJ226" s="155"/>
      <c r="BK226" s="91"/>
    </row>
    <row r="227" spans="1:63" ht="15.75">
      <c r="A227" s="123">
        <v>507158</v>
      </c>
      <c r="B227" s="126">
        <v>209400</v>
      </c>
      <c r="C227" s="121" t="s">
        <v>607</v>
      </c>
      <c r="D227" s="121" t="s">
        <v>608</v>
      </c>
      <c r="E227" s="125" t="s">
        <v>605</v>
      </c>
      <c r="F227" s="124" t="s">
        <v>606</v>
      </c>
      <c r="G227" s="127" t="s">
        <v>46</v>
      </c>
      <c r="H227" s="123" t="s">
        <v>597</v>
      </c>
      <c r="I227" s="126" t="s">
        <v>609</v>
      </c>
      <c r="J227" s="126" t="s">
        <v>610</v>
      </c>
      <c r="K227" s="128" t="s">
        <v>611</v>
      </c>
      <c r="L227" s="121" t="s">
        <v>518</v>
      </c>
      <c r="M227" s="123" t="s">
        <v>601</v>
      </c>
      <c r="N227" s="129">
        <v>43374</v>
      </c>
      <c r="O227" s="129">
        <v>43830</v>
      </c>
      <c r="P227" s="129">
        <v>43844</v>
      </c>
      <c r="Q227" s="144">
        <v>75600</v>
      </c>
      <c r="R227" s="132">
        <v>75600</v>
      </c>
      <c r="S227" s="132">
        <v>0</v>
      </c>
      <c r="T227" s="132">
        <v>0</v>
      </c>
      <c r="U227" s="132">
        <v>0</v>
      </c>
      <c r="V227" s="132">
        <v>0</v>
      </c>
      <c r="W227" s="132">
        <v>0</v>
      </c>
      <c r="X227" s="132">
        <v>0</v>
      </c>
      <c r="Y227" s="111">
        <v>75600</v>
      </c>
      <c r="Z227" s="133">
        <f t="shared" si="42"/>
        <v>75600</v>
      </c>
      <c r="AA227" s="133">
        <f t="shared" si="35"/>
        <v>0</v>
      </c>
      <c r="AB227" s="141"/>
      <c r="AC227" s="132" t="s">
        <v>602</v>
      </c>
      <c r="AD227" s="132" t="s">
        <v>602</v>
      </c>
      <c r="AE227" s="132" t="s">
        <v>602</v>
      </c>
      <c r="AF227" s="132" t="s">
        <v>602</v>
      </c>
      <c r="AG227" s="132" t="s">
        <v>602</v>
      </c>
      <c r="AH227" s="132"/>
      <c r="AI227" s="111">
        <v>0</v>
      </c>
      <c r="AJ227" s="134">
        <f t="shared" si="41"/>
        <v>0</v>
      </c>
      <c r="AK227" s="134">
        <f t="shared" si="36"/>
        <v>0</v>
      </c>
      <c r="AL227" s="142"/>
      <c r="AM227" s="132">
        <v>0</v>
      </c>
      <c r="AN227" s="132">
        <v>0</v>
      </c>
      <c r="AO227" s="132">
        <v>0</v>
      </c>
      <c r="AP227" s="132">
        <v>0</v>
      </c>
      <c r="AQ227" s="132">
        <v>0</v>
      </c>
      <c r="AR227" s="132">
        <v>0</v>
      </c>
      <c r="AS227" s="116">
        <v>0</v>
      </c>
      <c r="AT227" s="134">
        <f>SUM(AL227:AS227)</f>
        <v>0</v>
      </c>
      <c r="AU227" s="134">
        <f t="shared" si="37"/>
        <v>0</v>
      </c>
      <c r="AV227" s="142"/>
      <c r="AW227" s="146"/>
      <c r="AX227" s="146"/>
      <c r="AY227" s="146"/>
      <c r="AZ227" s="146"/>
      <c r="BA227" s="146"/>
      <c r="BB227" s="116"/>
      <c r="BC227" s="113"/>
      <c r="BD227" s="116"/>
      <c r="BE227" s="113"/>
      <c r="BF227" s="116"/>
      <c r="BG227" s="116"/>
      <c r="BH227" s="137">
        <f t="shared" si="38"/>
        <v>75600</v>
      </c>
      <c r="BI227" s="138">
        <f t="shared" si="39"/>
        <v>0</v>
      </c>
      <c r="BJ227" s="147" t="s">
        <v>1192</v>
      </c>
      <c r="BK227" s="91"/>
    </row>
    <row r="228" spans="1:63" ht="15.75">
      <c r="A228" s="181">
        <v>509633</v>
      </c>
      <c r="B228" s="163">
        <v>209400</v>
      </c>
      <c r="C228" s="148" t="s">
        <v>607</v>
      </c>
      <c r="D228" s="148" t="s">
        <v>608</v>
      </c>
      <c r="E228" s="125" t="s">
        <v>605</v>
      </c>
      <c r="F228" s="163" t="s">
        <v>606</v>
      </c>
      <c r="G228" s="127" t="s">
        <v>46</v>
      </c>
      <c r="H228" s="164" t="s">
        <v>597</v>
      </c>
      <c r="I228" s="126" t="s">
        <v>609</v>
      </c>
      <c r="J228" s="149" t="s">
        <v>610</v>
      </c>
      <c r="K228" s="149" t="s">
        <v>611</v>
      </c>
      <c r="L228" s="121" t="s">
        <v>19</v>
      </c>
      <c r="M228" s="123" t="s">
        <v>1193</v>
      </c>
      <c r="N228" s="129">
        <v>44044</v>
      </c>
      <c r="O228" s="129">
        <v>44408</v>
      </c>
      <c r="P228" s="129">
        <v>44408</v>
      </c>
      <c r="Q228" s="144">
        <f>100000-64100+64100</f>
        <v>100000</v>
      </c>
      <c r="R228" s="113"/>
      <c r="S228" s="132">
        <v>56800</v>
      </c>
      <c r="T228" s="132"/>
      <c r="U228" s="132">
        <v>17500</v>
      </c>
      <c r="V228" s="132"/>
      <c r="W228" s="132">
        <v>25700</v>
      </c>
      <c r="X228" s="132"/>
      <c r="Y228" s="111">
        <v>100000</v>
      </c>
      <c r="Z228" s="133">
        <f t="shared" si="42"/>
        <v>100000</v>
      </c>
      <c r="AA228" s="133">
        <f t="shared" si="35"/>
        <v>0</v>
      </c>
      <c r="AB228" s="141"/>
      <c r="AC228" s="132">
        <v>0</v>
      </c>
      <c r="AD228" s="132">
        <v>0</v>
      </c>
      <c r="AE228" s="132">
        <v>0</v>
      </c>
      <c r="AF228" s="132">
        <v>0</v>
      </c>
      <c r="AG228" s="132">
        <v>0</v>
      </c>
      <c r="AH228" s="132">
        <v>0</v>
      </c>
      <c r="AI228" s="111">
        <v>0</v>
      </c>
      <c r="AJ228" s="134">
        <f>SUM(AB228:AI228)</f>
        <v>0</v>
      </c>
      <c r="AK228" s="134">
        <f t="shared" si="36"/>
        <v>0</v>
      </c>
      <c r="AL228" s="142"/>
      <c r="AM228" s="132">
        <v>0</v>
      </c>
      <c r="AN228" s="132">
        <v>0</v>
      </c>
      <c r="AO228" s="132">
        <v>0</v>
      </c>
      <c r="AP228" s="132">
        <v>0</v>
      </c>
      <c r="AQ228" s="132">
        <v>0</v>
      </c>
      <c r="AR228" s="132">
        <v>0</v>
      </c>
      <c r="AS228" s="116">
        <v>0</v>
      </c>
      <c r="AT228" s="134">
        <f t="shared" ref="AT228:AT240" si="43">SUM(AL228:AR228)</f>
        <v>0</v>
      </c>
      <c r="AU228" s="134">
        <f t="shared" si="37"/>
        <v>0</v>
      </c>
      <c r="AV228" s="142"/>
      <c r="AW228" s="135"/>
      <c r="AX228" s="135"/>
      <c r="AY228" s="135"/>
      <c r="AZ228" s="135"/>
      <c r="BA228" s="135"/>
      <c r="BB228" s="116"/>
      <c r="BC228" s="113"/>
      <c r="BD228" s="116"/>
      <c r="BE228" s="113"/>
      <c r="BF228" s="116"/>
      <c r="BG228" s="116"/>
      <c r="BH228" s="137">
        <f t="shared" si="38"/>
        <v>100000</v>
      </c>
      <c r="BI228" s="138">
        <f t="shared" si="39"/>
        <v>0</v>
      </c>
      <c r="BJ228" s="126" t="s">
        <v>1194</v>
      </c>
      <c r="BK228" s="91"/>
    </row>
    <row r="229" spans="1:63" ht="15.75">
      <c r="A229" s="123">
        <v>511440</v>
      </c>
      <c r="B229" s="163">
        <v>209400</v>
      </c>
      <c r="C229" s="148" t="s">
        <v>607</v>
      </c>
      <c r="D229" s="148" t="s">
        <v>608</v>
      </c>
      <c r="E229" s="125" t="s">
        <v>605</v>
      </c>
      <c r="F229" s="163" t="s">
        <v>606</v>
      </c>
      <c r="G229" s="127" t="s">
        <v>46</v>
      </c>
      <c r="H229" s="164" t="s">
        <v>628</v>
      </c>
      <c r="I229" s="126" t="s">
        <v>609</v>
      </c>
      <c r="J229" s="149" t="s">
        <v>610</v>
      </c>
      <c r="K229" s="149" t="s">
        <v>611</v>
      </c>
      <c r="L229" s="121" t="s">
        <v>521</v>
      </c>
      <c r="M229" s="123" t="s">
        <v>1110</v>
      </c>
      <c r="N229" s="129">
        <v>44075</v>
      </c>
      <c r="O229" s="129">
        <v>44439</v>
      </c>
      <c r="P229" s="129">
        <v>44439</v>
      </c>
      <c r="Q229" s="144">
        <v>12500</v>
      </c>
      <c r="R229" s="132"/>
      <c r="S229" s="175">
        <v>12500</v>
      </c>
      <c r="T229" s="132"/>
      <c r="U229" s="132"/>
      <c r="V229" s="132"/>
      <c r="W229" s="132"/>
      <c r="X229" s="132"/>
      <c r="Y229" s="111">
        <v>12500</v>
      </c>
      <c r="Z229" s="133">
        <f t="shared" si="42"/>
        <v>12500</v>
      </c>
      <c r="AA229" s="133">
        <f>Y229-Z229</f>
        <v>0</v>
      </c>
      <c r="AB229" s="141"/>
      <c r="AC229" s="175">
        <v>12500</v>
      </c>
      <c r="AD229" s="132"/>
      <c r="AE229" s="132"/>
      <c r="AF229" s="132"/>
      <c r="AG229" s="132"/>
      <c r="AH229" s="132"/>
      <c r="AI229" s="111">
        <v>12500</v>
      </c>
      <c r="AJ229" s="134">
        <f t="shared" ref="AJ229:AJ241" si="44">SUM(AB229:AH229)</f>
        <v>12500</v>
      </c>
      <c r="AK229" s="134">
        <f t="shared" si="36"/>
        <v>0</v>
      </c>
      <c r="AL229" s="142"/>
      <c r="AM229" s="132"/>
      <c r="AN229" s="132"/>
      <c r="AO229" s="132"/>
      <c r="AP229" s="132"/>
      <c r="AQ229" s="132"/>
      <c r="AR229" s="135"/>
      <c r="AS229" s="116">
        <v>0</v>
      </c>
      <c r="AT229" s="134">
        <f t="shared" si="43"/>
        <v>0</v>
      </c>
      <c r="AU229" s="134">
        <f t="shared" si="37"/>
        <v>0</v>
      </c>
      <c r="AV229" s="142"/>
      <c r="AW229" s="132"/>
      <c r="AX229" s="132"/>
      <c r="AY229" s="132"/>
      <c r="AZ229" s="132"/>
      <c r="BA229" s="132"/>
      <c r="BB229" s="116"/>
      <c r="BC229" s="113"/>
      <c r="BD229" s="116"/>
      <c r="BE229" s="113"/>
      <c r="BF229" s="116"/>
      <c r="BG229" s="116"/>
      <c r="BH229" s="137">
        <f t="shared" si="38"/>
        <v>25000</v>
      </c>
      <c r="BI229" s="138">
        <f t="shared" si="39"/>
        <v>12500</v>
      </c>
      <c r="BJ229" s="165"/>
      <c r="BK229" s="91"/>
    </row>
    <row r="230" spans="1:63" ht="15.75">
      <c r="A230" s="123">
        <v>505749</v>
      </c>
      <c r="B230" s="126">
        <v>209403</v>
      </c>
      <c r="C230" s="124" t="s">
        <v>1196</v>
      </c>
      <c r="D230" s="124" t="s">
        <v>1197</v>
      </c>
      <c r="E230" s="125" t="s">
        <v>1195</v>
      </c>
      <c r="F230" s="124" t="s">
        <v>62</v>
      </c>
      <c r="G230" s="127" t="s">
        <v>53</v>
      </c>
      <c r="H230" s="126" t="s">
        <v>597</v>
      </c>
      <c r="I230" s="126" t="s">
        <v>598</v>
      </c>
      <c r="J230" s="126" t="s">
        <v>888</v>
      </c>
      <c r="K230" s="128" t="s">
        <v>731</v>
      </c>
      <c r="L230" s="121" t="s">
        <v>518</v>
      </c>
      <c r="M230" s="123" t="s">
        <v>601</v>
      </c>
      <c r="N230" s="129">
        <v>43313</v>
      </c>
      <c r="O230" s="129">
        <v>44408</v>
      </c>
      <c r="P230" s="129">
        <v>44408</v>
      </c>
      <c r="Q230" s="130">
        <f>187500+250000+62500</f>
        <v>500000</v>
      </c>
      <c r="R230" s="113"/>
      <c r="S230" s="132"/>
      <c r="T230" s="132"/>
      <c r="U230" s="132"/>
      <c r="V230" s="132">
        <v>0</v>
      </c>
      <c r="W230" s="132"/>
      <c r="X230" s="132">
        <v>187500</v>
      </c>
      <c r="Y230" s="111">
        <v>187500</v>
      </c>
      <c r="Z230" s="133">
        <f t="shared" si="42"/>
        <v>187500</v>
      </c>
      <c r="AA230" s="133">
        <f t="shared" ref="AA230:AA277" si="45">Z230-Y230</f>
        <v>0</v>
      </c>
      <c r="AB230" s="141"/>
      <c r="AC230" s="132">
        <v>0</v>
      </c>
      <c r="AD230" s="132">
        <v>0</v>
      </c>
      <c r="AE230" s="132">
        <v>0</v>
      </c>
      <c r="AF230" s="132">
        <v>0</v>
      </c>
      <c r="AG230" s="132">
        <v>250000</v>
      </c>
      <c r="AH230" s="132"/>
      <c r="AI230" s="111">
        <v>250000</v>
      </c>
      <c r="AJ230" s="134">
        <f t="shared" si="44"/>
        <v>250000</v>
      </c>
      <c r="AK230" s="134">
        <f t="shared" si="36"/>
        <v>0</v>
      </c>
      <c r="AL230" s="142"/>
      <c r="AM230" s="135">
        <v>0</v>
      </c>
      <c r="AN230" s="135">
        <v>0</v>
      </c>
      <c r="AO230" s="135">
        <v>0</v>
      </c>
      <c r="AP230" s="135"/>
      <c r="AQ230" s="135">
        <v>0</v>
      </c>
      <c r="AR230" s="135">
        <v>62500</v>
      </c>
      <c r="AS230" s="116">
        <v>62500</v>
      </c>
      <c r="AT230" s="134">
        <f t="shared" si="43"/>
        <v>62500</v>
      </c>
      <c r="AU230" s="134">
        <f t="shared" si="37"/>
        <v>0</v>
      </c>
      <c r="AV230" s="142"/>
      <c r="AW230" s="135"/>
      <c r="AX230" s="135"/>
      <c r="AY230" s="135"/>
      <c r="AZ230" s="135"/>
      <c r="BA230" s="135"/>
      <c r="BB230" s="116"/>
      <c r="BC230" s="113"/>
      <c r="BD230" s="116"/>
      <c r="BE230" s="113"/>
      <c r="BF230" s="116"/>
      <c r="BG230" s="116"/>
      <c r="BH230" s="137">
        <f t="shared" si="38"/>
        <v>500000</v>
      </c>
      <c r="BI230" s="138">
        <f t="shared" si="39"/>
        <v>0</v>
      </c>
      <c r="BJ230" s="126" t="s">
        <v>1198</v>
      </c>
      <c r="BK230" s="91"/>
    </row>
    <row r="231" spans="1:63" ht="15.75">
      <c r="A231" s="123">
        <v>506456</v>
      </c>
      <c r="B231" s="126">
        <v>209438</v>
      </c>
      <c r="C231" s="148" t="s">
        <v>614</v>
      </c>
      <c r="D231" s="148" t="s">
        <v>615</v>
      </c>
      <c r="E231" s="125" t="s">
        <v>613</v>
      </c>
      <c r="F231" s="124" t="s">
        <v>86</v>
      </c>
      <c r="G231" s="127" t="s">
        <v>46</v>
      </c>
      <c r="H231" s="126" t="s">
        <v>597</v>
      </c>
      <c r="I231" s="126" t="s">
        <v>609</v>
      </c>
      <c r="J231" s="126" t="s">
        <v>610</v>
      </c>
      <c r="K231" s="128" t="s">
        <v>611</v>
      </c>
      <c r="L231" s="121" t="s">
        <v>19</v>
      </c>
      <c r="M231" s="126" t="s">
        <v>921</v>
      </c>
      <c r="N231" s="129">
        <v>43556</v>
      </c>
      <c r="O231" s="129">
        <v>44561</v>
      </c>
      <c r="P231" s="129">
        <v>44561</v>
      </c>
      <c r="Q231" s="144">
        <f>50000+50000</f>
        <v>100000</v>
      </c>
      <c r="R231" s="150"/>
      <c r="S231" s="132">
        <v>27000</v>
      </c>
      <c r="T231" s="132">
        <v>0</v>
      </c>
      <c r="U231" s="132">
        <v>10000</v>
      </c>
      <c r="V231" s="132">
        <v>0</v>
      </c>
      <c r="W231" s="132">
        <v>4000</v>
      </c>
      <c r="X231" s="132">
        <v>9000</v>
      </c>
      <c r="Y231" s="111">
        <v>50000</v>
      </c>
      <c r="Z231" s="133">
        <f t="shared" si="42"/>
        <v>50000</v>
      </c>
      <c r="AA231" s="133">
        <f t="shared" si="45"/>
        <v>0</v>
      </c>
      <c r="AB231" s="141"/>
      <c r="AC231" s="132">
        <v>27000</v>
      </c>
      <c r="AD231" s="132">
        <v>0</v>
      </c>
      <c r="AE231" s="132">
        <v>10000</v>
      </c>
      <c r="AF231" s="132">
        <v>0</v>
      </c>
      <c r="AG231" s="132">
        <v>4000</v>
      </c>
      <c r="AH231" s="132">
        <v>9000</v>
      </c>
      <c r="AI231" s="111">
        <v>50000</v>
      </c>
      <c r="AJ231" s="134">
        <f t="shared" si="44"/>
        <v>50000</v>
      </c>
      <c r="AK231" s="134">
        <f t="shared" si="36"/>
        <v>0</v>
      </c>
      <c r="AL231" s="145"/>
      <c r="AM231" s="132">
        <v>0</v>
      </c>
      <c r="AN231" s="132">
        <v>0</v>
      </c>
      <c r="AO231" s="132">
        <v>0</v>
      </c>
      <c r="AP231" s="132">
        <v>0</v>
      </c>
      <c r="AQ231" s="132">
        <v>0</v>
      </c>
      <c r="AR231" s="132">
        <v>0</v>
      </c>
      <c r="AS231" s="116">
        <f t="shared" ref="AS231:AS240" si="46">SUM(AM231:AR231)</f>
        <v>0</v>
      </c>
      <c r="AT231" s="134">
        <f t="shared" si="43"/>
        <v>0</v>
      </c>
      <c r="AU231" s="134">
        <f t="shared" si="37"/>
        <v>0</v>
      </c>
      <c r="AV231" s="121"/>
      <c r="AW231" s="153"/>
      <c r="AX231" s="153"/>
      <c r="AY231" s="153"/>
      <c r="AZ231" s="153"/>
      <c r="BA231" s="153"/>
      <c r="BB231" s="154"/>
      <c r="BC231" s="99"/>
      <c r="BD231" s="154"/>
      <c r="BE231" s="99"/>
      <c r="BF231" s="154"/>
      <c r="BG231" s="154"/>
      <c r="BH231" s="137">
        <f t="shared" si="38"/>
        <v>100000</v>
      </c>
      <c r="BI231" s="138">
        <f t="shared" si="39"/>
        <v>0</v>
      </c>
      <c r="BJ231" s="155" t="s">
        <v>922</v>
      </c>
      <c r="BK231" s="91"/>
    </row>
    <row r="232" spans="1:63" ht="15.75">
      <c r="A232" s="123">
        <v>507036</v>
      </c>
      <c r="B232" s="126">
        <v>209438</v>
      </c>
      <c r="C232" s="148" t="s">
        <v>614</v>
      </c>
      <c r="D232" s="148" t="s">
        <v>615</v>
      </c>
      <c r="E232" s="125" t="s">
        <v>613</v>
      </c>
      <c r="F232" s="124" t="s">
        <v>86</v>
      </c>
      <c r="G232" s="127" t="s">
        <v>46</v>
      </c>
      <c r="H232" s="149" t="s">
        <v>597</v>
      </c>
      <c r="I232" s="126" t="s">
        <v>609</v>
      </c>
      <c r="J232" s="126" t="s">
        <v>610</v>
      </c>
      <c r="K232" s="128" t="s">
        <v>611</v>
      </c>
      <c r="L232" s="124" t="s">
        <v>518</v>
      </c>
      <c r="M232" s="143" t="s">
        <v>616</v>
      </c>
      <c r="N232" s="129">
        <v>43466</v>
      </c>
      <c r="O232" s="129">
        <v>44286</v>
      </c>
      <c r="P232" s="129">
        <v>44286</v>
      </c>
      <c r="Q232" s="144">
        <v>125200</v>
      </c>
      <c r="R232" s="150"/>
      <c r="S232" s="175"/>
      <c r="T232" s="132"/>
      <c r="U232" s="132"/>
      <c r="V232" s="132">
        <v>0</v>
      </c>
      <c r="W232" s="132"/>
      <c r="X232" s="132">
        <v>125200</v>
      </c>
      <c r="Y232" s="111">
        <v>125200</v>
      </c>
      <c r="Z232" s="133">
        <f t="shared" si="42"/>
        <v>125200</v>
      </c>
      <c r="AA232" s="133">
        <f t="shared" si="45"/>
        <v>0</v>
      </c>
      <c r="AB232" s="141"/>
      <c r="AC232" s="175"/>
      <c r="AD232" s="132"/>
      <c r="AE232" s="132"/>
      <c r="AF232" s="132"/>
      <c r="AG232" s="132"/>
      <c r="AH232" s="132"/>
      <c r="AI232" s="111"/>
      <c r="AJ232" s="134">
        <f t="shared" si="44"/>
        <v>0</v>
      </c>
      <c r="AK232" s="134">
        <f t="shared" si="36"/>
        <v>0</v>
      </c>
      <c r="AL232" s="142"/>
      <c r="AM232" s="132">
        <v>0</v>
      </c>
      <c r="AN232" s="132">
        <v>0</v>
      </c>
      <c r="AO232" s="132">
        <v>0</v>
      </c>
      <c r="AP232" s="132">
        <v>0</v>
      </c>
      <c r="AQ232" s="132">
        <v>0</v>
      </c>
      <c r="AR232" s="132">
        <v>0</v>
      </c>
      <c r="AS232" s="116">
        <f t="shared" si="46"/>
        <v>0</v>
      </c>
      <c r="AT232" s="134">
        <f t="shared" si="43"/>
        <v>0</v>
      </c>
      <c r="AU232" s="134">
        <f t="shared" si="37"/>
        <v>0</v>
      </c>
      <c r="AV232" s="142"/>
      <c r="AW232" s="135"/>
      <c r="AX232" s="135"/>
      <c r="AY232" s="135"/>
      <c r="AZ232" s="135"/>
      <c r="BA232" s="135"/>
      <c r="BB232" s="116"/>
      <c r="BC232" s="113"/>
      <c r="BD232" s="116"/>
      <c r="BE232" s="113"/>
      <c r="BF232" s="116"/>
      <c r="BG232" s="116"/>
      <c r="BH232" s="137">
        <f t="shared" si="38"/>
        <v>125200</v>
      </c>
      <c r="BI232" s="138">
        <f t="shared" si="39"/>
        <v>0</v>
      </c>
      <c r="BJ232" s="147" t="s">
        <v>1199</v>
      </c>
      <c r="BK232" s="91"/>
    </row>
    <row r="233" spans="1:63" ht="16.5">
      <c r="A233" s="181">
        <v>509666</v>
      </c>
      <c r="B233" s="126">
        <v>209438</v>
      </c>
      <c r="C233" s="148" t="s">
        <v>614</v>
      </c>
      <c r="D233" s="148" t="s">
        <v>615</v>
      </c>
      <c r="E233" s="182" t="s">
        <v>613</v>
      </c>
      <c r="F233" s="124" t="s">
        <v>86</v>
      </c>
      <c r="G233" s="127" t="s">
        <v>46</v>
      </c>
      <c r="H233" s="149" t="s">
        <v>597</v>
      </c>
      <c r="I233" s="126" t="s">
        <v>609</v>
      </c>
      <c r="J233" s="149" t="s">
        <v>610</v>
      </c>
      <c r="K233" s="149" t="s">
        <v>611</v>
      </c>
      <c r="L233" s="121" t="s">
        <v>19</v>
      </c>
      <c r="M233" s="123" t="s">
        <v>1018</v>
      </c>
      <c r="N233" s="129">
        <v>44044</v>
      </c>
      <c r="O233" s="129">
        <v>44408</v>
      </c>
      <c r="P233" s="129">
        <v>44408</v>
      </c>
      <c r="Q233" s="144">
        <v>44000</v>
      </c>
      <c r="R233" s="113"/>
      <c r="S233" s="132">
        <v>30000</v>
      </c>
      <c r="T233" s="132"/>
      <c r="U233" s="132">
        <v>14000</v>
      </c>
      <c r="V233" s="132">
        <v>0</v>
      </c>
      <c r="W233" s="132">
        <v>0</v>
      </c>
      <c r="X233" s="132">
        <v>0</v>
      </c>
      <c r="Y233" s="111">
        <v>44000</v>
      </c>
      <c r="Z233" s="133">
        <f t="shared" si="42"/>
        <v>44000</v>
      </c>
      <c r="AA233" s="133">
        <f t="shared" si="45"/>
        <v>0</v>
      </c>
      <c r="AB233" s="141"/>
      <c r="AC233" s="132">
        <v>30000</v>
      </c>
      <c r="AD233" s="132"/>
      <c r="AE233" s="132">
        <v>16000</v>
      </c>
      <c r="AF233" s="132">
        <v>0</v>
      </c>
      <c r="AG233" s="132">
        <v>0</v>
      </c>
      <c r="AH233" s="132">
        <v>0</v>
      </c>
      <c r="AI233" s="111">
        <v>46000</v>
      </c>
      <c r="AJ233" s="134">
        <f t="shared" si="44"/>
        <v>46000</v>
      </c>
      <c r="AK233" s="134">
        <f t="shared" si="36"/>
        <v>0</v>
      </c>
      <c r="AL233" s="142"/>
      <c r="AM233" s="132">
        <v>0</v>
      </c>
      <c r="AN233" s="132">
        <v>0</v>
      </c>
      <c r="AO233" s="132">
        <v>0</v>
      </c>
      <c r="AP233" s="132">
        <v>0</v>
      </c>
      <c r="AQ233" s="132">
        <v>0</v>
      </c>
      <c r="AR233" s="132">
        <v>0</v>
      </c>
      <c r="AS233" s="116">
        <f t="shared" si="46"/>
        <v>0</v>
      </c>
      <c r="AT233" s="134">
        <f t="shared" si="43"/>
        <v>0</v>
      </c>
      <c r="AU233" s="134">
        <f t="shared" si="37"/>
        <v>0</v>
      </c>
      <c r="AV233" s="142"/>
      <c r="AW233" s="135"/>
      <c r="AX233" s="135"/>
      <c r="AY233" s="135"/>
      <c r="AZ233" s="135"/>
      <c r="BA233" s="135"/>
      <c r="BB233" s="116"/>
      <c r="BC233" s="113"/>
      <c r="BD233" s="116"/>
      <c r="BE233" s="113"/>
      <c r="BF233" s="116"/>
      <c r="BG233" s="116"/>
      <c r="BH233" s="137">
        <f t="shared" si="38"/>
        <v>90000</v>
      </c>
      <c r="BI233" s="138">
        <f t="shared" si="39"/>
        <v>46000</v>
      </c>
      <c r="BJ233" s="126"/>
      <c r="BK233" s="91"/>
    </row>
    <row r="234" spans="1:63" ht="15.75">
      <c r="A234" s="123">
        <v>506485</v>
      </c>
      <c r="B234" s="126">
        <v>209461</v>
      </c>
      <c r="C234" s="148" t="s">
        <v>1202</v>
      </c>
      <c r="D234" s="148" t="s">
        <v>1203</v>
      </c>
      <c r="E234" s="125" t="s">
        <v>1200</v>
      </c>
      <c r="F234" s="124" t="s">
        <v>1201</v>
      </c>
      <c r="G234" s="127" t="s">
        <v>53</v>
      </c>
      <c r="H234" s="149" t="s">
        <v>597</v>
      </c>
      <c r="I234" s="126" t="s">
        <v>598</v>
      </c>
      <c r="J234" s="126" t="s">
        <v>683</v>
      </c>
      <c r="K234" s="128" t="s">
        <v>684</v>
      </c>
      <c r="L234" s="124" t="s">
        <v>521</v>
      </c>
      <c r="M234" s="143" t="s">
        <v>827</v>
      </c>
      <c r="N234" s="129">
        <v>43466</v>
      </c>
      <c r="O234" s="129">
        <v>44347</v>
      </c>
      <c r="P234" s="129">
        <v>44347</v>
      </c>
      <c r="Q234" s="144">
        <v>30000</v>
      </c>
      <c r="R234" s="150"/>
      <c r="S234" s="132">
        <v>0</v>
      </c>
      <c r="T234" s="132">
        <v>15000</v>
      </c>
      <c r="U234" s="132">
        <v>0</v>
      </c>
      <c r="V234" s="132">
        <v>0</v>
      </c>
      <c r="W234" s="132">
        <v>0</v>
      </c>
      <c r="X234" s="132">
        <v>0</v>
      </c>
      <c r="Y234" s="111">
        <v>15000</v>
      </c>
      <c r="Z234" s="133">
        <f t="shared" si="42"/>
        <v>15000</v>
      </c>
      <c r="AA234" s="133">
        <f t="shared" si="45"/>
        <v>0</v>
      </c>
      <c r="AB234" s="141"/>
      <c r="AC234" s="132">
        <v>15000</v>
      </c>
      <c r="AD234" s="132">
        <v>0</v>
      </c>
      <c r="AE234" s="132">
        <v>0</v>
      </c>
      <c r="AF234" s="132">
        <v>0</v>
      </c>
      <c r="AG234" s="132">
        <v>0</v>
      </c>
      <c r="AH234" s="132"/>
      <c r="AI234" s="111">
        <v>15000</v>
      </c>
      <c r="AJ234" s="134">
        <f t="shared" si="44"/>
        <v>15000</v>
      </c>
      <c r="AK234" s="134">
        <f t="shared" si="36"/>
        <v>0</v>
      </c>
      <c r="AL234" s="142"/>
      <c r="AM234" s="132">
        <v>0</v>
      </c>
      <c r="AN234" s="132">
        <v>0</v>
      </c>
      <c r="AO234" s="132">
        <v>0</v>
      </c>
      <c r="AP234" s="132">
        <v>0</v>
      </c>
      <c r="AQ234" s="132">
        <v>0</v>
      </c>
      <c r="AR234" s="132">
        <v>0</v>
      </c>
      <c r="AS234" s="116">
        <f t="shared" si="46"/>
        <v>0</v>
      </c>
      <c r="AT234" s="134">
        <f t="shared" si="43"/>
        <v>0</v>
      </c>
      <c r="AU234" s="134">
        <f t="shared" si="37"/>
        <v>0</v>
      </c>
      <c r="AV234" s="142"/>
      <c r="AW234" s="135"/>
      <c r="AX234" s="135"/>
      <c r="AY234" s="135"/>
      <c r="AZ234" s="135"/>
      <c r="BA234" s="135"/>
      <c r="BB234" s="116"/>
      <c r="BC234" s="113"/>
      <c r="BD234" s="116"/>
      <c r="BE234" s="113"/>
      <c r="BF234" s="116"/>
      <c r="BG234" s="116"/>
      <c r="BH234" s="137">
        <f t="shared" si="38"/>
        <v>30000</v>
      </c>
      <c r="BI234" s="138">
        <f t="shared" si="39"/>
        <v>0</v>
      </c>
      <c r="BJ234" s="147" t="s">
        <v>828</v>
      </c>
      <c r="BK234" s="91"/>
    </row>
    <row r="235" spans="1:63" ht="15.75">
      <c r="A235" s="123">
        <v>507776</v>
      </c>
      <c r="B235" s="126">
        <v>209476</v>
      </c>
      <c r="C235" s="124" t="s">
        <v>1205</v>
      </c>
      <c r="D235" s="124" t="s">
        <v>671</v>
      </c>
      <c r="E235" s="140" t="s">
        <v>1204</v>
      </c>
      <c r="F235" s="124" t="s">
        <v>299</v>
      </c>
      <c r="G235" s="127" t="s">
        <v>46</v>
      </c>
      <c r="H235" s="126" t="s">
        <v>628</v>
      </c>
      <c r="I235" s="126" t="s">
        <v>598</v>
      </c>
      <c r="J235" s="126" t="s">
        <v>888</v>
      </c>
      <c r="K235" s="128" t="s">
        <v>731</v>
      </c>
      <c r="L235" s="121" t="s">
        <v>519</v>
      </c>
      <c r="M235" s="123" t="s">
        <v>1080</v>
      </c>
      <c r="N235" s="129">
        <v>43709</v>
      </c>
      <c r="O235" s="129">
        <v>44530</v>
      </c>
      <c r="P235" s="129">
        <v>44530</v>
      </c>
      <c r="Q235" s="130">
        <f>22400+47600+70000</f>
        <v>140000</v>
      </c>
      <c r="R235" s="113"/>
      <c r="S235" s="132">
        <v>27958</v>
      </c>
      <c r="T235" s="132">
        <v>0</v>
      </c>
      <c r="U235" s="132">
        <v>42042</v>
      </c>
      <c r="V235" s="132">
        <v>0</v>
      </c>
      <c r="W235" s="132"/>
      <c r="X235" s="132"/>
      <c r="Y235" s="111">
        <v>70000</v>
      </c>
      <c r="Z235" s="133">
        <f t="shared" si="42"/>
        <v>70000</v>
      </c>
      <c r="AA235" s="133">
        <f t="shared" si="45"/>
        <v>0</v>
      </c>
      <c r="AB235" s="141"/>
      <c r="AC235" s="132">
        <v>27958</v>
      </c>
      <c r="AD235" s="132">
        <v>0</v>
      </c>
      <c r="AE235" s="132">
        <v>42042</v>
      </c>
      <c r="AF235" s="132">
        <v>0</v>
      </c>
      <c r="AG235" s="132">
        <v>0</v>
      </c>
      <c r="AH235" s="132">
        <v>0</v>
      </c>
      <c r="AI235" s="111">
        <v>70000</v>
      </c>
      <c r="AJ235" s="134">
        <f t="shared" si="44"/>
        <v>70000</v>
      </c>
      <c r="AK235" s="134">
        <f t="shared" si="36"/>
        <v>0</v>
      </c>
      <c r="AL235" s="142"/>
      <c r="AM235" s="132">
        <v>27959</v>
      </c>
      <c r="AN235" s="132">
        <v>0</v>
      </c>
      <c r="AO235" s="132">
        <v>42041</v>
      </c>
      <c r="AP235" s="132">
        <v>0</v>
      </c>
      <c r="AQ235" s="132"/>
      <c r="AR235" s="132"/>
      <c r="AS235" s="116">
        <f t="shared" si="46"/>
        <v>70000</v>
      </c>
      <c r="AT235" s="134">
        <f t="shared" si="43"/>
        <v>70000</v>
      </c>
      <c r="AU235" s="134">
        <f t="shared" si="37"/>
        <v>0</v>
      </c>
      <c r="AV235" s="142"/>
      <c r="AW235" s="135"/>
      <c r="AX235" s="135"/>
      <c r="AY235" s="135"/>
      <c r="AZ235" s="135"/>
      <c r="BA235" s="135"/>
      <c r="BB235" s="116"/>
      <c r="BC235" s="113"/>
      <c r="BD235" s="116"/>
      <c r="BE235" s="113"/>
      <c r="BF235" s="116"/>
      <c r="BG235" s="116"/>
      <c r="BH235" s="137">
        <f t="shared" si="38"/>
        <v>210000</v>
      </c>
      <c r="BI235" s="138">
        <f t="shared" si="39"/>
        <v>70000</v>
      </c>
      <c r="BJ235" s="126"/>
      <c r="BK235" s="91"/>
    </row>
    <row r="236" spans="1:63" ht="15.75">
      <c r="A236" s="123">
        <v>507637</v>
      </c>
      <c r="B236" s="126">
        <v>209491</v>
      </c>
      <c r="C236" s="124" t="s">
        <v>1208</v>
      </c>
      <c r="D236" s="124" t="s">
        <v>1209</v>
      </c>
      <c r="E236" s="125" t="s">
        <v>1206</v>
      </c>
      <c r="F236" s="124" t="s">
        <v>1207</v>
      </c>
      <c r="G236" s="127" t="s">
        <v>75</v>
      </c>
      <c r="H236" s="126" t="s">
        <v>628</v>
      </c>
      <c r="I236" s="126" t="s">
        <v>598</v>
      </c>
      <c r="J236" s="126" t="s">
        <v>730</v>
      </c>
      <c r="K236" s="128" t="s">
        <v>735</v>
      </c>
      <c r="L236" s="121" t="s">
        <v>519</v>
      </c>
      <c r="M236" s="123" t="s">
        <v>736</v>
      </c>
      <c r="N236" s="129">
        <v>43709</v>
      </c>
      <c r="O236" s="129">
        <v>44530</v>
      </c>
      <c r="P236" s="129">
        <v>44530</v>
      </c>
      <c r="Q236" s="130">
        <f>153000+153000</f>
        <v>306000</v>
      </c>
      <c r="R236" s="113"/>
      <c r="S236" s="132">
        <v>50264</v>
      </c>
      <c r="T236" s="132"/>
      <c r="U236" s="132">
        <v>102736</v>
      </c>
      <c r="V236" s="132"/>
      <c r="W236" s="132"/>
      <c r="X236" s="132"/>
      <c r="Y236" s="111">
        <v>153000</v>
      </c>
      <c r="Z236" s="133">
        <f t="shared" si="42"/>
        <v>153000</v>
      </c>
      <c r="AA236" s="133">
        <f t="shared" si="45"/>
        <v>0</v>
      </c>
      <c r="AB236" s="141"/>
      <c r="AC236" s="132">
        <v>50264</v>
      </c>
      <c r="AD236" s="132"/>
      <c r="AE236" s="132">
        <v>102736</v>
      </c>
      <c r="AF236" s="132"/>
      <c r="AG236" s="132"/>
      <c r="AH236" s="132"/>
      <c r="AI236" s="111">
        <v>153000</v>
      </c>
      <c r="AJ236" s="134">
        <f t="shared" si="44"/>
        <v>153000</v>
      </c>
      <c r="AK236" s="134">
        <f t="shared" si="36"/>
        <v>0</v>
      </c>
      <c r="AL236" s="142"/>
      <c r="AM236" s="132">
        <v>50264</v>
      </c>
      <c r="AN236" s="132"/>
      <c r="AO236" s="132">
        <v>102736</v>
      </c>
      <c r="AP236" s="135"/>
      <c r="AQ236" s="135"/>
      <c r="AR236" s="135"/>
      <c r="AS236" s="116">
        <f t="shared" si="46"/>
        <v>153000</v>
      </c>
      <c r="AT236" s="134">
        <f t="shared" si="43"/>
        <v>153000</v>
      </c>
      <c r="AU236" s="134">
        <f t="shared" si="37"/>
        <v>0</v>
      </c>
      <c r="AV236" s="142"/>
      <c r="AW236" s="135"/>
      <c r="AX236" s="135"/>
      <c r="AY236" s="135"/>
      <c r="AZ236" s="135"/>
      <c r="BA236" s="135"/>
      <c r="BB236" s="116"/>
      <c r="BC236" s="113"/>
      <c r="BD236" s="116"/>
      <c r="BE236" s="113"/>
      <c r="BF236" s="116"/>
      <c r="BG236" s="116"/>
      <c r="BH236" s="137">
        <f t="shared" si="38"/>
        <v>459000</v>
      </c>
      <c r="BI236" s="138">
        <f t="shared" si="39"/>
        <v>153000</v>
      </c>
      <c r="BJ236" s="126"/>
      <c r="BK236" s="91"/>
    </row>
    <row r="237" spans="1:63" ht="15.75">
      <c r="A237" s="123">
        <v>507637</v>
      </c>
      <c r="B237" s="126">
        <v>209660</v>
      </c>
      <c r="C237" s="124" t="s">
        <v>1211</v>
      </c>
      <c r="D237" s="124" t="s">
        <v>1212</v>
      </c>
      <c r="E237" s="125" t="s">
        <v>1210</v>
      </c>
      <c r="F237" s="124" t="s">
        <v>128</v>
      </c>
      <c r="G237" s="127" t="s">
        <v>68</v>
      </c>
      <c r="H237" s="126" t="s">
        <v>628</v>
      </c>
      <c r="I237" s="126" t="s">
        <v>598</v>
      </c>
      <c r="J237" s="126" t="s">
        <v>672</v>
      </c>
      <c r="K237" s="128" t="s">
        <v>673</v>
      </c>
      <c r="L237" s="121" t="s">
        <v>519</v>
      </c>
      <c r="M237" s="123" t="s">
        <v>736</v>
      </c>
      <c r="N237" s="129">
        <v>43709</v>
      </c>
      <c r="O237" s="129">
        <v>44530</v>
      </c>
      <c r="P237" s="129">
        <v>44530</v>
      </c>
      <c r="Q237" s="130">
        <f>74800+74800</f>
        <v>149600</v>
      </c>
      <c r="R237" s="113"/>
      <c r="S237" s="132">
        <v>25000</v>
      </c>
      <c r="T237" s="132"/>
      <c r="U237" s="132">
        <v>49800</v>
      </c>
      <c r="V237" s="132"/>
      <c r="W237" s="132"/>
      <c r="X237" s="132"/>
      <c r="Y237" s="111">
        <v>74800</v>
      </c>
      <c r="Z237" s="133">
        <f t="shared" si="42"/>
        <v>74800</v>
      </c>
      <c r="AA237" s="133">
        <f t="shared" si="45"/>
        <v>0</v>
      </c>
      <c r="AB237" s="141"/>
      <c r="AC237" s="132">
        <v>25000</v>
      </c>
      <c r="AD237" s="132"/>
      <c r="AE237" s="132">
        <v>49800</v>
      </c>
      <c r="AF237" s="132"/>
      <c r="AG237" s="132"/>
      <c r="AH237" s="132"/>
      <c r="AI237" s="111">
        <v>74800</v>
      </c>
      <c r="AJ237" s="134">
        <f t="shared" si="44"/>
        <v>74800</v>
      </c>
      <c r="AK237" s="134">
        <f t="shared" si="36"/>
        <v>0</v>
      </c>
      <c r="AL237" s="142"/>
      <c r="AM237" s="132">
        <v>25000</v>
      </c>
      <c r="AN237" s="132"/>
      <c r="AO237" s="132">
        <v>49800</v>
      </c>
      <c r="AP237" s="135"/>
      <c r="AQ237" s="135"/>
      <c r="AR237" s="135"/>
      <c r="AS237" s="116">
        <f t="shared" si="46"/>
        <v>74800</v>
      </c>
      <c r="AT237" s="134">
        <f t="shared" si="43"/>
        <v>74800</v>
      </c>
      <c r="AU237" s="134">
        <f t="shared" si="37"/>
        <v>0</v>
      </c>
      <c r="AV237" s="142"/>
      <c r="AW237" s="135"/>
      <c r="AX237" s="135"/>
      <c r="AY237" s="135"/>
      <c r="AZ237" s="135"/>
      <c r="BA237" s="135"/>
      <c r="BB237" s="116"/>
      <c r="BC237" s="113"/>
      <c r="BD237" s="116"/>
      <c r="BE237" s="113"/>
      <c r="BF237" s="116"/>
      <c r="BG237" s="116"/>
      <c r="BH237" s="137">
        <f t="shared" si="38"/>
        <v>224400</v>
      </c>
      <c r="BI237" s="138">
        <f t="shared" si="39"/>
        <v>74800</v>
      </c>
      <c r="BJ237" s="126"/>
      <c r="BK237" s="91"/>
    </row>
    <row r="238" spans="1:63" ht="15.75">
      <c r="A238" s="123">
        <v>507776</v>
      </c>
      <c r="B238" s="126">
        <v>209711</v>
      </c>
      <c r="C238" s="124" t="s">
        <v>1214</v>
      </c>
      <c r="D238" s="124" t="s">
        <v>1215</v>
      </c>
      <c r="E238" s="124" t="s">
        <v>1213</v>
      </c>
      <c r="F238" s="124" t="s">
        <v>304</v>
      </c>
      <c r="G238" s="127" t="s">
        <v>53</v>
      </c>
      <c r="H238" s="126" t="s">
        <v>628</v>
      </c>
      <c r="I238" s="126" t="s">
        <v>598</v>
      </c>
      <c r="J238" s="126" t="s">
        <v>659</v>
      </c>
      <c r="K238" s="178" t="s">
        <v>660</v>
      </c>
      <c r="L238" s="121" t="s">
        <v>519</v>
      </c>
      <c r="M238" s="123" t="s">
        <v>1080</v>
      </c>
      <c r="N238" s="129">
        <v>43709</v>
      </c>
      <c r="O238" s="129">
        <v>44530</v>
      </c>
      <c r="P238" s="129">
        <v>44530</v>
      </c>
      <c r="Q238" s="130">
        <f>26667+56666+83333</f>
        <v>166666</v>
      </c>
      <c r="R238" s="113"/>
      <c r="S238" s="132">
        <v>48000</v>
      </c>
      <c r="T238" s="132">
        <v>0</v>
      </c>
      <c r="U238" s="132">
        <v>23333</v>
      </c>
      <c r="V238" s="132">
        <v>0</v>
      </c>
      <c r="W238" s="132">
        <v>0</v>
      </c>
      <c r="X238" s="132">
        <v>12000</v>
      </c>
      <c r="Y238" s="111">
        <v>83333</v>
      </c>
      <c r="Z238" s="133">
        <f t="shared" si="42"/>
        <v>83333</v>
      </c>
      <c r="AA238" s="133">
        <f t="shared" si="45"/>
        <v>0</v>
      </c>
      <c r="AB238" s="141"/>
      <c r="AC238" s="132">
        <v>48000</v>
      </c>
      <c r="AD238" s="132">
        <v>0</v>
      </c>
      <c r="AE238" s="132">
        <v>23333</v>
      </c>
      <c r="AF238" s="132">
        <v>0</v>
      </c>
      <c r="AG238" s="132">
        <v>0</v>
      </c>
      <c r="AH238" s="132">
        <v>12000</v>
      </c>
      <c r="AI238" s="111">
        <v>83333</v>
      </c>
      <c r="AJ238" s="134">
        <f t="shared" si="44"/>
        <v>83333</v>
      </c>
      <c r="AK238" s="134">
        <f t="shared" si="36"/>
        <v>0</v>
      </c>
      <c r="AL238" s="142"/>
      <c r="AM238" s="132">
        <v>48000</v>
      </c>
      <c r="AN238" s="132">
        <v>0</v>
      </c>
      <c r="AO238" s="132">
        <v>23334</v>
      </c>
      <c r="AP238" s="132">
        <v>0</v>
      </c>
      <c r="AQ238" s="132">
        <v>0</v>
      </c>
      <c r="AR238" s="132">
        <v>12000</v>
      </c>
      <c r="AS238" s="116">
        <f t="shared" si="46"/>
        <v>83334</v>
      </c>
      <c r="AT238" s="134">
        <f t="shared" si="43"/>
        <v>83334</v>
      </c>
      <c r="AU238" s="134">
        <f t="shared" si="37"/>
        <v>0</v>
      </c>
      <c r="AV238" s="142"/>
      <c r="AW238" s="135"/>
      <c r="AX238" s="135"/>
      <c r="AY238" s="135"/>
      <c r="AZ238" s="135"/>
      <c r="BA238" s="135"/>
      <c r="BB238" s="116"/>
      <c r="BC238" s="113"/>
      <c r="BD238" s="116"/>
      <c r="BE238" s="113"/>
      <c r="BF238" s="116"/>
      <c r="BG238" s="116"/>
      <c r="BH238" s="137">
        <f t="shared" si="38"/>
        <v>250000</v>
      </c>
      <c r="BI238" s="138">
        <f t="shared" si="39"/>
        <v>83334</v>
      </c>
      <c r="BJ238" s="126"/>
      <c r="BK238" s="91"/>
    </row>
    <row r="239" spans="1:63" ht="15.75">
      <c r="A239" s="123">
        <v>507693</v>
      </c>
      <c r="B239" s="126">
        <v>209766</v>
      </c>
      <c r="C239" s="124" t="s">
        <v>1217</v>
      </c>
      <c r="D239" s="124" t="s">
        <v>1218</v>
      </c>
      <c r="E239" s="176" t="s">
        <v>1216</v>
      </c>
      <c r="F239" s="124" t="s">
        <v>64</v>
      </c>
      <c r="G239" s="127" t="s">
        <v>53</v>
      </c>
      <c r="H239" s="126" t="s">
        <v>628</v>
      </c>
      <c r="I239" s="126" t="s">
        <v>598</v>
      </c>
      <c r="J239" s="123" t="s">
        <v>645</v>
      </c>
      <c r="K239" s="177" t="s">
        <v>666</v>
      </c>
      <c r="L239" s="121" t="s">
        <v>519</v>
      </c>
      <c r="M239" s="123" t="s">
        <v>1219</v>
      </c>
      <c r="N239" s="129">
        <v>43709</v>
      </c>
      <c r="O239" s="129">
        <v>44530</v>
      </c>
      <c r="P239" s="129">
        <v>44530</v>
      </c>
      <c r="Q239" s="130">
        <f>108123+108123</f>
        <v>216246</v>
      </c>
      <c r="R239" s="113"/>
      <c r="S239" s="132">
        <v>30000</v>
      </c>
      <c r="T239" s="132"/>
      <c r="U239" s="132">
        <v>42000</v>
      </c>
      <c r="V239" s="132"/>
      <c r="W239" s="132">
        <v>19123</v>
      </c>
      <c r="X239" s="132">
        <v>17000</v>
      </c>
      <c r="Y239" s="111">
        <f>SUM(S239:X239)</f>
        <v>108123</v>
      </c>
      <c r="Z239" s="133">
        <f t="shared" si="42"/>
        <v>108123</v>
      </c>
      <c r="AA239" s="133">
        <f t="shared" si="45"/>
        <v>0</v>
      </c>
      <c r="AB239" s="141"/>
      <c r="AC239" s="132">
        <v>30000</v>
      </c>
      <c r="AD239" s="132"/>
      <c r="AE239" s="132">
        <v>42000</v>
      </c>
      <c r="AF239" s="132"/>
      <c r="AG239" s="132">
        <v>19123</v>
      </c>
      <c r="AH239" s="132">
        <v>17000</v>
      </c>
      <c r="AI239" s="111">
        <v>108123</v>
      </c>
      <c r="AJ239" s="134">
        <f t="shared" si="44"/>
        <v>108123</v>
      </c>
      <c r="AK239" s="134">
        <f t="shared" si="36"/>
        <v>0</v>
      </c>
      <c r="AL239" s="142"/>
      <c r="AM239" s="132">
        <v>30000</v>
      </c>
      <c r="AN239" s="132"/>
      <c r="AO239" s="132">
        <v>42000</v>
      </c>
      <c r="AP239" s="132"/>
      <c r="AQ239" s="132">
        <v>19123</v>
      </c>
      <c r="AR239" s="132">
        <v>17000</v>
      </c>
      <c r="AS239" s="116">
        <f t="shared" si="46"/>
        <v>108123</v>
      </c>
      <c r="AT239" s="134">
        <f t="shared" si="43"/>
        <v>108123</v>
      </c>
      <c r="AU239" s="134">
        <f t="shared" si="37"/>
        <v>0</v>
      </c>
      <c r="AV239" s="142"/>
      <c r="AW239" s="135"/>
      <c r="AX239" s="135"/>
      <c r="AY239" s="135"/>
      <c r="AZ239" s="135"/>
      <c r="BA239" s="135"/>
      <c r="BB239" s="116"/>
      <c r="BC239" s="113"/>
      <c r="BD239" s="116"/>
      <c r="BE239" s="113"/>
      <c r="BF239" s="116"/>
      <c r="BG239" s="116"/>
      <c r="BH239" s="137">
        <f t="shared" si="38"/>
        <v>324369</v>
      </c>
      <c r="BI239" s="138">
        <f t="shared" si="39"/>
        <v>108123</v>
      </c>
      <c r="BJ239" s="126"/>
      <c r="BK239" s="91"/>
    </row>
    <row r="240" spans="1:63" ht="15.75">
      <c r="A240" s="167">
        <v>509181</v>
      </c>
      <c r="B240" s="126">
        <v>209792</v>
      </c>
      <c r="C240" s="124" t="s">
        <v>619</v>
      </c>
      <c r="D240" s="124" t="s">
        <v>620</v>
      </c>
      <c r="E240" s="140" t="s">
        <v>618</v>
      </c>
      <c r="F240" s="124" t="s">
        <v>122</v>
      </c>
      <c r="G240" s="127" t="s">
        <v>46</v>
      </c>
      <c r="H240" s="126" t="s">
        <v>597</v>
      </c>
      <c r="I240" s="126" t="s">
        <v>609</v>
      </c>
      <c r="J240" s="126" t="s">
        <v>610</v>
      </c>
      <c r="K240" s="128" t="s">
        <v>2068</v>
      </c>
      <c r="L240" s="121" t="s">
        <v>518</v>
      </c>
      <c r="M240" s="123" t="s">
        <v>622</v>
      </c>
      <c r="N240" s="129">
        <v>43952</v>
      </c>
      <c r="O240" s="129">
        <v>44805</v>
      </c>
      <c r="P240" s="129">
        <v>44805</v>
      </c>
      <c r="Q240" s="130">
        <f>608571</f>
        <v>608571</v>
      </c>
      <c r="R240" s="157">
        <v>30000</v>
      </c>
      <c r="S240" s="132">
        <v>78571</v>
      </c>
      <c r="T240" s="132">
        <v>300000</v>
      </c>
      <c r="U240" s="132">
        <v>200000</v>
      </c>
      <c r="V240" s="132"/>
      <c r="W240" s="132"/>
      <c r="X240" s="132"/>
      <c r="Y240" s="111">
        <f>SUM(R240:X240)</f>
        <v>608571</v>
      </c>
      <c r="Z240" s="133">
        <f t="shared" si="42"/>
        <v>608571</v>
      </c>
      <c r="AA240" s="133">
        <f t="shared" si="45"/>
        <v>0</v>
      </c>
      <c r="AB240" s="141"/>
      <c r="AC240" s="132">
        <v>85714</v>
      </c>
      <c r="AD240" s="132" t="s">
        <v>602</v>
      </c>
      <c r="AE240" s="132">
        <v>84899</v>
      </c>
      <c r="AF240" s="132" t="s">
        <v>602</v>
      </c>
      <c r="AG240" s="132"/>
      <c r="AH240" s="132"/>
      <c r="AI240" s="111">
        <v>170613</v>
      </c>
      <c r="AJ240" s="134">
        <f t="shared" si="44"/>
        <v>170613</v>
      </c>
      <c r="AK240" s="134">
        <f t="shared" si="36"/>
        <v>0</v>
      </c>
      <c r="AL240" s="142"/>
      <c r="AM240" s="132">
        <v>35714</v>
      </c>
      <c r="AN240" s="132"/>
      <c r="AO240" s="132">
        <v>20000</v>
      </c>
      <c r="AP240" s="132"/>
      <c r="AQ240" s="132"/>
      <c r="AR240" s="132"/>
      <c r="AS240" s="116">
        <f t="shared" si="46"/>
        <v>55714</v>
      </c>
      <c r="AT240" s="134">
        <f t="shared" si="43"/>
        <v>55714</v>
      </c>
      <c r="AU240" s="134">
        <f t="shared" si="37"/>
        <v>0</v>
      </c>
      <c r="AV240" s="142"/>
      <c r="AW240" s="135"/>
      <c r="AX240" s="135"/>
      <c r="AY240" s="135"/>
      <c r="AZ240" s="135"/>
      <c r="BA240" s="135"/>
      <c r="BB240" s="116"/>
      <c r="BC240" s="113"/>
      <c r="BD240" s="116"/>
      <c r="BE240" s="113"/>
      <c r="BF240" s="116"/>
      <c r="BG240" s="116"/>
      <c r="BH240" s="137">
        <f t="shared" si="38"/>
        <v>834898</v>
      </c>
      <c r="BI240" s="138">
        <f t="shared" si="39"/>
        <v>226327</v>
      </c>
      <c r="BJ240" s="126" t="s">
        <v>1180</v>
      </c>
      <c r="BK240" s="91"/>
    </row>
    <row r="241" spans="1:63" ht="15.75">
      <c r="A241" s="180">
        <v>509285</v>
      </c>
      <c r="B241" s="126">
        <v>209801</v>
      </c>
      <c r="C241" s="124" t="s">
        <v>1221</v>
      </c>
      <c r="D241" s="124" t="s">
        <v>1222</v>
      </c>
      <c r="E241" s="125" t="s">
        <v>1220</v>
      </c>
      <c r="F241" s="124" t="s">
        <v>206</v>
      </c>
      <c r="G241" s="127" t="s">
        <v>68</v>
      </c>
      <c r="H241" s="126" t="s">
        <v>597</v>
      </c>
      <c r="I241" s="126" t="s">
        <v>598</v>
      </c>
      <c r="J241" s="126" t="s">
        <v>888</v>
      </c>
      <c r="K241" s="128" t="s">
        <v>731</v>
      </c>
      <c r="L241" s="121" t="s">
        <v>517</v>
      </c>
      <c r="M241" s="123" t="s">
        <v>1223</v>
      </c>
      <c r="N241" s="129">
        <v>44013</v>
      </c>
      <c r="O241" s="129">
        <v>44742</v>
      </c>
      <c r="P241" s="129">
        <v>44742</v>
      </c>
      <c r="Q241" s="130">
        <v>75000</v>
      </c>
      <c r="R241" s="113"/>
      <c r="S241" s="132">
        <v>75000</v>
      </c>
      <c r="T241" s="132">
        <v>0</v>
      </c>
      <c r="U241" s="132">
        <v>0</v>
      </c>
      <c r="V241" s="132">
        <v>0</v>
      </c>
      <c r="W241" s="132">
        <v>0</v>
      </c>
      <c r="X241" s="132">
        <v>0</v>
      </c>
      <c r="Y241" s="111">
        <v>75000</v>
      </c>
      <c r="Z241" s="133">
        <f t="shared" si="42"/>
        <v>75000</v>
      </c>
      <c r="AA241" s="133">
        <f t="shared" si="45"/>
        <v>0</v>
      </c>
      <c r="AB241" s="141"/>
      <c r="AC241" s="132">
        <v>75000</v>
      </c>
      <c r="AD241" s="132">
        <v>0</v>
      </c>
      <c r="AE241" s="132">
        <v>0</v>
      </c>
      <c r="AF241" s="132">
        <v>0</v>
      </c>
      <c r="AG241" s="132">
        <v>0</v>
      </c>
      <c r="AH241" s="132">
        <v>0</v>
      </c>
      <c r="AI241" s="111">
        <v>75000</v>
      </c>
      <c r="AJ241" s="134">
        <f t="shared" si="44"/>
        <v>75000</v>
      </c>
      <c r="AK241" s="134">
        <f t="shared" si="36"/>
        <v>0</v>
      </c>
      <c r="AL241" s="142"/>
      <c r="AM241" s="132">
        <v>0</v>
      </c>
      <c r="AN241" s="132">
        <v>0</v>
      </c>
      <c r="AO241" s="132">
        <v>0</v>
      </c>
      <c r="AP241" s="132">
        <v>0</v>
      </c>
      <c r="AQ241" s="132">
        <v>0</v>
      </c>
      <c r="AR241" s="132">
        <v>0</v>
      </c>
      <c r="AS241" s="116">
        <v>0</v>
      </c>
      <c r="AT241" s="134">
        <f>SUM(AL241:AS241)</f>
        <v>0</v>
      </c>
      <c r="AU241" s="134">
        <f t="shared" si="37"/>
        <v>0</v>
      </c>
      <c r="AV241" s="142"/>
      <c r="AW241" s="135"/>
      <c r="AX241" s="135"/>
      <c r="AY241" s="135"/>
      <c r="AZ241" s="135"/>
      <c r="BA241" s="135"/>
      <c r="BB241" s="116"/>
      <c r="BC241" s="113"/>
      <c r="BD241" s="116"/>
      <c r="BE241" s="113"/>
      <c r="BF241" s="116"/>
      <c r="BG241" s="116"/>
      <c r="BH241" s="137">
        <f t="shared" si="38"/>
        <v>150000</v>
      </c>
      <c r="BI241" s="138">
        <f t="shared" si="39"/>
        <v>75000</v>
      </c>
      <c r="BJ241" s="126"/>
      <c r="BK241" s="91"/>
    </row>
    <row r="242" spans="1:63" ht="15.75">
      <c r="A242" s="123">
        <v>509703</v>
      </c>
      <c r="B242" s="163">
        <v>209946</v>
      </c>
      <c r="C242" s="148" t="s">
        <v>1229</v>
      </c>
      <c r="D242" s="170" t="s">
        <v>1230</v>
      </c>
      <c r="E242" s="188" t="s">
        <v>1228</v>
      </c>
      <c r="F242" s="163" t="s">
        <v>157</v>
      </c>
      <c r="G242" s="127" t="s">
        <v>68</v>
      </c>
      <c r="H242" s="149" t="s">
        <v>597</v>
      </c>
      <c r="I242" s="126" t="s">
        <v>598</v>
      </c>
      <c r="J242" s="126" t="s">
        <v>683</v>
      </c>
      <c r="K242" s="128" t="s">
        <v>684</v>
      </c>
      <c r="L242" s="121" t="s">
        <v>19</v>
      </c>
      <c r="M242" s="123" t="s">
        <v>674</v>
      </c>
      <c r="N242" s="129">
        <v>44044</v>
      </c>
      <c r="O242" s="129">
        <v>44408</v>
      </c>
      <c r="P242" s="129">
        <v>44408</v>
      </c>
      <c r="Q242" s="130">
        <v>80000</v>
      </c>
      <c r="R242" s="113"/>
      <c r="S242" s="132">
        <v>30000</v>
      </c>
      <c r="T242" s="132">
        <v>0</v>
      </c>
      <c r="U242" s="132">
        <v>41000</v>
      </c>
      <c r="V242" s="132">
        <v>0</v>
      </c>
      <c r="W242" s="132">
        <v>9000</v>
      </c>
      <c r="X242" s="132">
        <v>0</v>
      </c>
      <c r="Y242" s="111">
        <v>80000</v>
      </c>
      <c r="Z242" s="133">
        <f t="shared" si="42"/>
        <v>80000</v>
      </c>
      <c r="AA242" s="133">
        <f t="shared" si="45"/>
        <v>0</v>
      </c>
      <c r="AB242" s="141"/>
      <c r="AC242" s="132">
        <v>0</v>
      </c>
      <c r="AD242" s="132">
        <v>0</v>
      </c>
      <c r="AE242" s="132">
        <v>0</v>
      </c>
      <c r="AF242" s="132">
        <v>0</v>
      </c>
      <c r="AG242" s="132">
        <v>0</v>
      </c>
      <c r="AH242" s="132">
        <v>0</v>
      </c>
      <c r="AI242" s="111">
        <v>0</v>
      </c>
      <c r="AJ242" s="134">
        <f>SUM(AB242:AI242)</f>
        <v>0</v>
      </c>
      <c r="AK242" s="134">
        <f t="shared" si="36"/>
        <v>0</v>
      </c>
      <c r="AL242" s="142"/>
      <c r="AM242" s="132">
        <v>0</v>
      </c>
      <c r="AN242" s="132">
        <v>0</v>
      </c>
      <c r="AO242" s="132">
        <v>0</v>
      </c>
      <c r="AP242" s="132">
        <v>0</v>
      </c>
      <c r="AQ242" s="132">
        <v>0</v>
      </c>
      <c r="AR242" s="132">
        <v>0</v>
      </c>
      <c r="AS242" s="116">
        <v>0</v>
      </c>
      <c r="AT242" s="134">
        <f t="shared" ref="AT242:AT262" si="47">SUM(AL242:AR242)</f>
        <v>0</v>
      </c>
      <c r="AU242" s="134">
        <f t="shared" si="37"/>
        <v>0</v>
      </c>
      <c r="AV242" s="142"/>
      <c r="AW242" s="135"/>
      <c r="AX242" s="135"/>
      <c r="AY242" s="135"/>
      <c r="AZ242" s="135"/>
      <c r="BA242" s="135"/>
      <c r="BB242" s="116"/>
      <c r="BC242" s="113"/>
      <c r="BD242" s="116"/>
      <c r="BE242" s="113"/>
      <c r="BF242" s="116"/>
      <c r="BG242" s="116"/>
      <c r="BH242" s="137">
        <f t="shared" si="38"/>
        <v>80000</v>
      </c>
      <c r="BI242" s="138">
        <f t="shared" si="39"/>
        <v>0</v>
      </c>
      <c r="BJ242" s="126"/>
      <c r="BK242" s="91"/>
    </row>
    <row r="243" spans="1:63" ht="15.75">
      <c r="A243" s="123">
        <v>500144</v>
      </c>
      <c r="B243" s="126">
        <v>210085</v>
      </c>
      <c r="C243" s="121" t="s">
        <v>1233</v>
      </c>
      <c r="D243" s="121" t="s">
        <v>1234</v>
      </c>
      <c r="E243" s="125" t="s">
        <v>1231</v>
      </c>
      <c r="F243" s="124" t="s">
        <v>1232</v>
      </c>
      <c r="G243" s="127" t="s">
        <v>46</v>
      </c>
      <c r="H243" s="123" t="s">
        <v>597</v>
      </c>
      <c r="I243" s="123" t="s">
        <v>703</v>
      </c>
      <c r="J243" s="126" t="s">
        <v>774</v>
      </c>
      <c r="K243" s="128" t="s">
        <v>775</v>
      </c>
      <c r="L243" s="121" t="s">
        <v>637</v>
      </c>
      <c r="M243" s="123" t="s">
        <v>638</v>
      </c>
      <c r="N243" s="129">
        <v>42248</v>
      </c>
      <c r="O243" s="129">
        <v>42643</v>
      </c>
      <c r="P243" s="129">
        <v>42668</v>
      </c>
      <c r="Q243" s="144">
        <v>6000</v>
      </c>
      <c r="R243" s="132">
        <v>6000</v>
      </c>
      <c r="S243" s="132"/>
      <c r="T243" s="132">
        <v>0</v>
      </c>
      <c r="U243" s="132">
        <v>0</v>
      </c>
      <c r="V243" s="132"/>
      <c r="W243" s="132">
        <v>0</v>
      </c>
      <c r="X243" s="132">
        <v>0</v>
      </c>
      <c r="Y243" s="111">
        <v>6000</v>
      </c>
      <c r="Z243" s="133">
        <f t="shared" si="42"/>
        <v>6000</v>
      </c>
      <c r="AA243" s="133">
        <f t="shared" si="45"/>
        <v>0</v>
      </c>
      <c r="AB243" s="141"/>
      <c r="AC243" s="132" t="s">
        <v>602</v>
      </c>
      <c r="AD243" s="132" t="s">
        <v>602</v>
      </c>
      <c r="AE243" s="132" t="s">
        <v>602</v>
      </c>
      <c r="AF243" s="132" t="s">
        <v>602</v>
      </c>
      <c r="AG243" s="132" t="s">
        <v>602</v>
      </c>
      <c r="AH243" s="132"/>
      <c r="AI243" s="111">
        <v>0</v>
      </c>
      <c r="AJ243" s="134">
        <f t="shared" ref="AJ243:AJ274" si="48">SUM(AB243:AH243)</f>
        <v>0</v>
      </c>
      <c r="AK243" s="134">
        <f t="shared" si="36"/>
        <v>0</v>
      </c>
      <c r="AL243" s="142"/>
      <c r="AM243" s="132">
        <v>0</v>
      </c>
      <c r="AN243" s="132">
        <v>0</v>
      </c>
      <c r="AO243" s="132">
        <v>0</v>
      </c>
      <c r="AP243" s="132">
        <v>0</v>
      </c>
      <c r="AQ243" s="132">
        <v>0</v>
      </c>
      <c r="AR243" s="132">
        <v>0</v>
      </c>
      <c r="AS243" s="116">
        <v>0</v>
      </c>
      <c r="AT243" s="134">
        <f t="shared" si="47"/>
        <v>0</v>
      </c>
      <c r="AU243" s="134">
        <f t="shared" si="37"/>
        <v>0</v>
      </c>
      <c r="AV243" s="142"/>
      <c r="AW243" s="132" t="s">
        <v>602</v>
      </c>
      <c r="AX243" s="132" t="s">
        <v>602</v>
      </c>
      <c r="AY243" s="132" t="s">
        <v>602</v>
      </c>
      <c r="AZ243" s="132" t="s">
        <v>602</v>
      </c>
      <c r="BA243" s="132" t="s">
        <v>602</v>
      </c>
      <c r="BB243" s="116"/>
      <c r="BC243" s="113"/>
      <c r="BD243" s="116"/>
      <c r="BE243" s="113"/>
      <c r="BF243" s="116"/>
      <c r="BG243" s="116"/>
      <c r="BH243" s="137">
        <f t="shared" si="38"/>
        <v>6000</v>
      </c>
      <c r="BI243" s="138">
        <f t="shared" si="39"/>
        <v>0</v>
      </c>
      <c r="BJ243" s="147"/>
      <c r="BK243" s="91"/>
    </row>
    <row r="244" spans="1:63" ht="15.75">
      <c r="A244" s="123">
        <v>501348</v>
      </c>
      <c r="B244" s="126">
        <v>210089</v>
      </c>
      <c r="C244" s="124" t="s">
        <v>1236</v>
      </c>
      <c r="D244" s="124" t="s">
        <v>1237</v>
      </c>
      <c r="E244" s="125" t="s">
        <v>1235</v>
      </c>
      <c r="F244" s="124" t="s">
        <v>325</v>
      </c>
      <c r="G244" s="127" t="s">
        <v>82</v>
      </c>
      <c r="H244" s="126" t="s">
        <v>597</v>
      </c>
      <c r="I244" s="126" t="s">
        <v>598</v>
      </c>
      <c r="J244" s="126" t="s">
        <v>888</v>
      </c>
      <c r="K244" s="128" t="s">
        <v>731</v>
      </c>
      <c r="L244" s="121" t="s">
        <v>515</v>
      </c>
      <c r="M244" s="123" t="s">
        <v>934</v>
      </c>
      <c r="N244" s="129">
        <v>42614</v>
      </c>
      <c r="O244" s="129">
        <v>44286</v>
      </c>
      <c r="P244" s="129">
        <v>44286</v>
      </c>
      <c r="Q244" s="130">
        <v>692013</v>
      </c>
      <c r="R244" s="113"/>
      <c r="S244" s="132">
        <v>102100</v>
      </c>
      <c r="T244" s="132">
        <v>0</v>
      </c>
      <c r="U244" s="132">
        <v>45900</v>
      </c>
      <c r="V244" s="132"/>
      <c r="W244" s="132">
        <v>82671</v>
      </c>
      <c r="X244" s="132">
        <v>0</v>
      </c>
      <c r="Y244" s="111">
        <v>230671</v>
      </c>
      <c r="Z244" s="133">
        <f t="shared" si="42"/>
        <v>230671</v>
      </c>
      <c r="AA244" s="133">
        <f t="shared" si="45"/>
        <v>0</v>
      </c>
      <c r="AB244" s="141"/>
      <c r="AC244" s="132">
        <v>102100</v>
      </c>
      <c r="AD244" s="132">
        <v>0</v>
      </c>
      <c r="AE244" s="132">
        <v>45900</v>
      </c>
      <c r="AF244" s="132">
        <v>82671</v>
      </c>
      <c r="AG244" s="132">
        <v>0</v>
      </c>
      <c r="AH244" s="132"/>
      <c r="AI244" s="111">
        <v>230671</v>
      </c>
      <c r="AJ244" s="134">
        <f t="shared" si="48"/>
        <v>230671</v>
      </c>
      <c r="AK244" s="134">
        <f t="shared" si="36"/>
        <v>0</v>
      </c>
      <c r="AL244" s="142"/>
      <c r="AM244" s="135">
        <v>102100</v>
      </c>
      <c r="AN244" s="135">
        <v>0</v>
      </c>
      <c r="AO244" s="135">
        <v>45900</v>
      </c>
      <c r="AP244" s="135"/>
      <c r="AQ244" s="135">
        <v>82671</v>
      </c>
      <c r="AR244" s="135">
        <v>0</v>
      </c>
      <c r="AS244" s="116">
        <v>230671</v>
      </c>
      <c r="AT244" s="134">
        <f t="shared" si="47"/>
        <v>230671</v>
      </c>
      <c r="AU244" s="134">
        <f t="shared" si="37"/>
        <v>0</v>
      </c>
      <c r="AV244" s="142"/>
      <c r="AW244" s="135"/>
      <c r="AX244" s="135"/>
      <c r="AY244" s="135"/>
      <c r="AZ244" s="135"/>
      <c r="BA244" s="135"/>
      <c r="BB244" s="116"/>
      <c r="BC244" s="113"/>
      <c r="BD244" s="116"/>
      <c r="BE244" s="113"/>
      <c r="BF244" s="116"/>
      <c r="BG244" s="116"/>
      <c r="BH244" s="137">
        <f t="shared" si="38"/>
        <v>692013</v>
      </c>
      <c r="BI244" s="138">
        <f t="shared" si="39"/>
        <v>0</v>
      </c>
      <c r="BJ244" s="126"/>
      <c r="BK244" s="91"/>
    </row>
    <row r="245" spans="1:63" ht="15.75">
      <c r="A245" s="123">
        <v>502529</v>
      </c>
      <c r="B245" s="126">
        <v>210089</v>
      </c>
      <c r="C245" s="124" t="s">
        <v>1236</v>
      </c>
      <c r="D245" s="124" t="s">
        <v>1237</v>
      </c>
      <c r="E245" s="125" t="s">
        <v>1235</v>
      </c>
      <c r="F245" s="124" t="s">
        <v>325</v>
      </c>
      <c r="G245" s="127" t="s">
        <v>82</v>
      </c>
      <c r="H245" s="126" t="s">
        <v>597</v>
      </c>
      <c r="I245" s="126" t="s">
        <v>598</v>
      </c>
      <c r="J245" s="126" t="s">
        <v>888</v>
      </c>
      <c r="K245" s="128" t="s">
        <v>731</v>
      </c>
      <c r="L245" s="121" t="s">
        <v>517</v>
      </c>
      <c r="M245" s="123" t="s">
        <v>1238</v>
      </c>
      <c r="N245" s="129">
        <v>42826</v>
      </c>
      <c r="O245" s="129">
        <v>43921</v>
      </c>
      <c r="P245" s="129">
        <v>43921</v>
      </c>
      <c r="Q245" s="130">
        <v>150000</v>
      </c>
      <c r="R245" s="113"/>
      <c r="S245" s="132">
        <v>50000</v>
      </c>
      <c r="T245" s="132">
        <v>0</v>
      </c>
      <c r="U245" s="132">
        <v>0</v>
      </c>
      <c r="V245" s="132"/>
      <c r="W245" s="132">
        <v>0</v>
      </c>
      <c r="X245" s="132">
        <v>0</v>
      </c>
      <c r="Y245" s="111">
        <v>50000</v>
      </c>
      <c r="Z245" s="133">
        <f t="shared" si="42"/>
        <v>50000</v>
      </c>
      <c r="AA245" s="133">
        <f t="shared" si="45"/>
        <v>0</v>
      </c>
      <c r="AB245" s="141"/>
      <c r="AC245" s="132">
        <v>50000</v>
      </c>
      <c r="AD245" s="132">
        <v>0</v>
      </c>
      <c r="AE245" s="132">
        <v>0</v>
      </c>
      <c r="AF245" s="132">
        <v>0</v>
      </c>
      <c r="AG245" s="132">
        <v>0</v>
      </c>
      <c r="AH245" s="132"/>
      <c r="AI245" s="111">
        <v>50000</v>
      </c>
      <c r="AJ245" s="134">
        <f t="shared" si="48"/>
        <v>50000</v>
      </c>
      <c r="AK245" s="134">
        <f t="shared" si="36"/>
        <v>0</v>
      </c>
      <c r="AL245" s="142"/>
      <c r="AM245" s="132">
        <v>50000</v>
      </c>
      <c r="AN245" s="132">
        <v>0</v>
      </c>
      <c r="AO245" s="132">
        <v>0</v>
      </c>
      <c r="AP245" s="132">
        <v>0</v>
      </c>
      <c r="AQ245" s="132">
        <v>0</v>
      </c>
      <c r="AR245" s="135">
        <v>0</v>
      </c>
      <c r="AS245" s="116">
        <v>50000</v>
      </c>
      <c r="AT245" s="134">
        <f t="shared" si="47"/>
        <v>50000</v>
      </c>
      <c r="AU245" s="134">
        <f t="shared" si="37"/>
        <v>0</v>
      </c>
      <c r="AV245" s="142"/>
      <c r="AW245" s="135" t="s">
        <v>602</v>
      </c>
      <c r="AX245" s="135" t="s">
        <v>602</v>
      </c>
      <c r="AY245" s="135" t="s">
        <v>602</v>
      </c>
      <c r="AZ245" s="135" t="s">
        <v>602</v>
      </c>
      <c r="BA245" s="135" t="s">
        <v>602</v>
      </c>
      <c r="BB245" s="116">
        <f>SUM(AU245:BA245)</f>
        <v>0</v>
      </c>
      <c r="BC245" s="113"/>
      <c r="BD245" s="116"/>
      <c r="BE245" s="113"/>
      <c r="BF245" s="116"/>
      <c r="BG245" s="116"/>
      <c r="BH245" s="137">
        <f t="shared" si="38"/>
        <v>150000</v>
      </c>
      <c r="BI245" s="138">
        <f t="shared" si="39"/>
        <v>0</v>
      </c>
      <c r="BJ245" s="126" t="s">
        <v>789</v>
      </c>
      <c r="BK245" s="91"/>
    </row>
    <row r="246" spans="1:63" ht="15.75">
      <c r="A246" s="123">
        <v>507778</v>
      </c>
      <c r="B246" s="126">
        <v>210089</v>
      </c>
      <c r="C246" s="124" t="s">
        <v>1236</v>
      </c>
      <c r="D246" s="124" t="s">
        <v>1237</v>
      </c>
      <c r="E246" s="124" t="s">
        <v>1235</v>
      </c>
      <c r="F246" s="124" t="s">
        <v>325</v>
      </c>
      <c r="G246" s="127" t="s">
        <v>82</v>
      </c>
      <c r="H246" s="126" t="s">
        <v>597</v>
      </c>
      <c r="I246" s="126" t="s">
        <v>598</v>
      </c>
      <c r="J246" s="126" t="s">
        <v>888</v>
      </c>
      <c r="K246" s="128" t="s">
        <v>731</v>
      </c>
      <c r="L246" s="121" t="s">
        <v>519</v>
      </c>
      <c r="M246" s="126" t="s">
        <v>965</v>
      </c>
      <c r="N246" s="129">
        <v>43709</v>
      </c>
      <c r="O246" s="129">
        <v>44530</v>
      </c>
      <c r="P246" s="129">
        <v>44530</v>
      </c>
      <c r="Q246" s="130">
        <f>80000+89000+26250+169000</f>
        <v>364250</v>
      </c>
      <c r="R246" s="113"/>
      <c r="S246" s="132">
        <v>131250</v>
      </c>
      <c r="T246" s="132">
        <v>0</v>
      </c>
      <c r="U246" s="132">
        <v>34000</v>
      </c>
      <c r="V246" s="132">
        <v>0</v>
      </c>
      <c r="W246" s="132">
        <v>30000</v>
      </c>
      <c r="X246" s="132">
        <v>0</v>
      </c>
      <c r="Y246" s="111">
        <v>195250</v>
      </c>
      <c r="Z246" s="133">
        <f t="shared" si="42"/>
        <v>195250</v>
      </c>
      <c r="AA246" s="133">
        <f t="shared" si="45"/>
        <v>0</v>
      </c>
      <c r="AB246" s="141"/>
      <c r="AC246" s="132">
        <v>105000</v>
      </c>
      <c r="AD246" s="132">
        <v>0</v>
      </c>
      <c r="AE246" s="132">
        <v>34000</v>
      </c>
      <c r="AF246" s="132">
        <v>0</v>
      </c>
      <c r="AG246" s="132">
        <v>30000</v>
      </c>
      <c r="AH246" s="132">
        <v>0</v>
      </c>
      <c r="AI246" s="111">
        <v>169000</v>
      </c>
      <c r="AJ246" s="134">
        <f t="shared" si="48"/>
        <v>169000</v>
      </c>
      <c r="AK246" s="134">
        <f t="shared" si="36"/>
        <v>0</v>
      </c>
      <c r="AL246" s="142"/>
      <c r="AM246" s="132">
        <v>78750</v>
      </c>
      <c r="AN246" s="132">
        <v>0</v>
      </c>
      <c r="AO246" s="132">
        <v>34000</v>
      </c>
      <c r="AP246" s="132">
        <v>0</v>
      </c>
      <c r="AQ246" s="132">
        <v>30000</v>
      </c>
      <c r="AR246" s="132">
        <v>0</v>
      </c>
      <c r="AS246" s="116">
        <f>SUM(AM246:AR246)</f>
        <v>142750</v>
      </c>
      <c r="AT246" s="134">
        <f t="shared" si="47"/>
        <v>142750</v>
      </c>
      <c r="AU246" s="134">
        <f t="shared" si="37"/>
        <v>0</v>
      </c>
      <c r="AV246" s="142"/>
      <c r="AW246" s="135"/>
      <c r="AX246" s="135"/>
      <c r="AY246" s="135"/>
      <c r="AZ246" s="135"/>
      <c r="BA246" s="135"/>
      <c r="BB246" s="116"/>
      <c r="BC246" s="113"/>
      <c r="BD246" s="116"/>
      <c r="BE246" s="113"/>
      <c r="BF246" s="116"/>
      <c r="BG246" s="116"/>
      <c r="BH246" s="137">
        <f t="shared" si="38"/>
        <v>507000</v>
      </c>
      <c r="BI246" s="138">
        <f t="shared" si="39"/>
        <v>142750</v>
      </c>
      <c r="BJ246" s="126"/>
      <c r="BK246" s="91"/>
    </row>
    <row r="247" spans="1:63" ht="15.75">
      <c r="A247" s="123">
        <v>501332</v>
      </c>
      <c r="B247" s="126">
        <v>210174</v>
      </c>
      <c r="C247" s="124" t="s">
        <v>1240</v>
      </c>
      <c r="D247" s="124" t="s">
        <v>1241</v>
      </c>
      <c r="E247" s="125" t="s">
        <v>1239</v>
      </c>
      <c r="F247" s="124" t="s">
        <v>262</v>
      </c>
      <c r="G247" s="127" t="s">
        <v>46</v>
      </c>
      <c r="H247" s="126" t="s">
        <v>628</v>
      </c>
      <c r="I247" s="126" t="s">
        <v>598</v>
      </c>
      <c r="J247" s="126" t="s">
        <v>696</v>
      </c>
      <c r="K247" s="128" t="s">
        <v>1242</v>
      </c>
      <c r="L247" s="121" t="s">
        <v>515</v>
      </c>
      <c r="M247" s="123" t="s">
        <v>839</v>
      </c>
      <c r="N247" s="129">
        <v>42614</v>
      </c>
      <c r="O247" s="129">
        <v>43708</v>
      </c>
      <c r="P247" s="129">
        <v>43708</v>
      </c>
      <c r="Q247" s="130">
        <v>259000</v>
      </c>
      <c r="R247" s="113"/>
      <c r="S247" s="132">
        <v>65000</v>
      </c>
      <c r="T247" s="132">
        <v>0</v>
      </c>
      <c r="U247" s="132">
        <v>10000</v>
      </c>
      <c r="V247" s="132"/>
      <c r="W247" s="132">
        <v>18000</v>
      </c>
      <c r="X247" s="132">
        <v>0</v>
      </c>
      <c r="Y247" s="111">
        <v>93000</v>
      </c>
      <c r="Z247" s="133">
        <f t="shared" si="42"/>
        <v>93000</v>
      </c>
      <c r="AA247" s="133">
        <f t="shared" si="45"/>
        <v>0</v>
      </c>
      <c r="AB247" s="141"/>
      <c r="AC247" s="132">
        <v>65000</v>
      </c>
      <c r="AD247" s="132">
        <v>0</v>
      </c>
      <c r="AE247" s="132">
        <v>0</v>
      </c>
      <c r="AF247" s="132">
        <v>18000</v>
      </c>
      <c r="AG247" s="132">
        <v>0</v>
      </c>
      <c r="AH247" s="132"/>
      <c r="AI247" s="111">
        <v>83000</v>
      </c>
      <c r="AJ247" s="134">
        <f t="shared" si="48"/>
        <v>83000</v>
      </c>
      <c r="AK247" s="134">
        <f t="shared" si="36"/>
        <v>0</v>
      </c>
      <c r="AL247" s="142"/>
      <c r="AM247" s="135">
        <v>65000</v>
      </c>
      <c r="AN247" s="135">
        <v>0</v>
      </c>
      <c r="AO247" s="135">
        <v>0</v>
      </c>
      <c r="AP247" s="135"/>
      <c r="AQ247" s="135">
        <v>18000</v>
      </c>
      <c r="AR247" s="135">
        <v>0</v>
      </c>
      <c r="AS247" s="116">
        <v>83000</v>
      </c>
      <c r="AT247" s="134">
        <f t="shared" si="47"/>
        <v>83000</v>
      </c>
      <c r="AU247" s="134">
        <f t="shared" si="37"/>
        <v>0</v>
      </c>
      <c r="AV247" s="142"/>
      <c r="AW247" s="135"/>
      <c r="AX247" s="135"/>
      <c r="AY247" s="135"/>
      <c r="AZ247" s="135"/>
      <c r="BA247" s="135"/>
      <c r="BB247" s="116"/>
      <c r="BC247" s="113"/>
      <c r="BD247" s="116"/>
      <c r="BE247" s="113"/>
      <c r="BF247" s="116"/>
      <c r="BG247" s="116"/>
      <c r="BH247" s="137">
        <f t="shared" si="38"/>
        <v>259000</v>
      </c>
      <c r="BI247" s="138">
        <f t="shared" si="39"/>
        <v>0</v>
      </c>
      <c r="BJ247" s="126"/>
      <c r="BK247" s="91"/>
    </row>
    <row r="248" spans="1:63" ht="15.75">
      <c r="A248" s="123">
        <v>507639</v>
      </c>
      <c r="B248" s="126">
        <v>210174</v>
      </c>
      <c r="C248" s="124" t="s">
        <v>1240</v>
      </c>
      <c r="D248" s="124" t="s">
        <v>1241</v>
      </c>
      <c r="E248" s="125" t="s">
        <v>1239</v>
      </c>
      <c r="F248" s="124" t="s">
        <v>262</v>
      </c>
      <c r="G248" s="127" t="s">
        <v>46</v>
      </c>
      <c r="H248" s="126" t="s">
        <v>628</v>
      </c>
      <c r="I248" s="126" t="s">
        <v>598</v>
      </c>
      <c r="J248" s="126" t="s">
        <v>696</v>
      </c>
      <c r="K248" s="128" t="s">
        <v>1242</v>
      </c>
      <c r="L248" s="121" t="s">
        <v>519</v>
      </c>
      <c r="M248" s="123" t="s">
        <v>847</v>
      </c>
      <c r="N248" s="129">
        <v>43709</v>
      </c>
      <c r="O248" s="129">
        <v>44530</v>
      </c>
      <c r="P248" s="129">
        <v>44530</v>
      </c>
      <c r="Q248" s="130">
        <f>80000+8750+80000</f>
        <v>168750</v>
      </c>
      <c r="R248" s="113"/>
      <c r="S248" s="132">
        <f>35000+8750</f>
        <v>43750</v>
      </c>
      <c r="T248" s="132"/>
      <c r="U248" s="132">
        <f>20000-272.13</f>
        <v>19727.87</v>
      </c>
      <c r="V248" s="132"/>
      <c r="W248" s="132">
        <f>25000+272.13</f>
        <v>25272.13</v>
      </c>
      <c r="X248" s="132"/>
      <c r="Y248" s="111">
        <v>88750</v>
      </c>
      <c r="Z248" s="133">
        <f t="shared" si="42"/>
        <v>88750</v>
      </c>
      <c r="AA248" s="133">
        <f t="shared" si="45"/>
        <v>0</v>
      </c>
      <c r="AB248" s="141"/>
      <c r="AC248" s="132">
        <v>35000</v>
      </c>
      <c r="AD248" s="132"/>
      <c r="AE248" s="132">
        <v>20000</v>
      </c>
      <c r="AF248" s="132"/>
      <c r="AG248" s="132">
        <v>25000</v>
      </c>
      <c r="AH248" s="132"/>
      <c r="AI248" s="111">
        <v>80000</v>
      </c>
      <c r="AJ248" s="134">
        <f t="shared" si="48"/>
        <v>80000</v>
      </c>
      <c r="AK248" s="134">
        <f t="shared" si="36"/>
        <v>0</v>
      </c>
      <c r="AL248" s="142"/>
      <c r="AM248" s="132">
        <v>26250</v>
      </c>
      <c r="AN248" s="132"/>
      <c r="AO248" s="132">
        <v>20000</v>
      </c>
      <c r="AP248" s="132"/>
      <c r="AQ248" s="132">
        <v>25000</v>
      </c>
      <c r="AR248" s="132"/>
      <c r="AS248" s="116">
        <f>SUM(AM248:AR248)</f>
        <v>71250</v>
      </c>
      <c r="AT248" s="134">
        <f t="shared" si="47"/>
        <v>71250</v>
      </c>
      <c r="AU248" s="134">
        <f t="shared" si="37"/>
        <v>0</v>
      </c>
      <c r="AV248" s="142"/>
      <c r="AW248" s="135"/>
      <c r="AX248" s="135"/>
      <c r="AY248" s="135"/>
      <c r="AZ248" s="135"/>
      <c r="BA248" s="135"/>
      <c r="BB248" s="116"/>
      <c r="BC248" s="113"/>
      <c r="BD248" s="116"/>
      <c r="BE248" s="113"/>
      <c r="BF248" s="116"/>
      <c r="BG248" s="116"/>
      <c r="BH248" s="137">
        <f t="shared" si="38"/>
        <v>240000</v>
      </c>
      <c r="BI248" s="138">
        <f t="shared" si="39"/>
        <v>71250</v>
      </c>
      <c r="BJ248" s="126"/>
      <c r="BK248" s="91"/>
    </row>
    <row r="249" spans="1:63" ht="15.75">
      <c r="A249" s="123">
        <v>507778</v>
      </c>
      <c r="B249" s="126">
        <v>210174</v>
      </c>
      <c r="C249" s="124" t="s">
        <v>1240</v>
      </c>
      <c r="D249" s="124" t="s">
        <v>1241</v>
      </c>
      <c r="E249" s="125" t="s">
        <v>1239</v>
      </c>
      <c r="F249" s="124" t="s">
        <v>262</v>
      </c>
      <c r="G249" s="127" t="s">
        <v>46</v>
      </c>
      <c r="H249" s="126" t="s">
        <v>628</v>
      </c>
      <c r="I249" s="126" t="s">
        <v>598</v>
      </c>
      <c r="J249" s="126" t="s">
        <v>696</v>
      </c>
      <c r="K249" s="128" t="s">
        <v>1242</v>
      </c>
      <c r="L249" s="121" t="s">
        <v>519</v>
      </c>
      <c r="M249" s="126" t="s">
        <v>965</v>
      </c>
      <c r="N249" s="129">
        <v>43709</v>
      </c>
      <c r="O249" s="129">
        <v>44530</v>
      </c>
      <c r="P249" s="129">
        <v>44530</v>
      </c>
      <c r="Q249" s="130">
        <f>66000+14250+66000</f>
        <v>146250</v>
      </c>
      <c r="R249" s="113"/>
      <c r="S249" s="132">
        <f>57000+14250</f>
        <v>71250</v>
      </c>
      <c r="T249" s="132">
        <v>0</v>
      </c>
      <c r="U249" s="132">
        <f>4000-3656.99</f>
        <v>343.01000000000022</v>
      </c>
      <c r="V249" s="132">
        <v>0</v>
      </c>
      <c r="W249" s="132">
        <f>5000+3656.99</f>
        <v>8656.99</v>
      </c>
      <c r="X249" s="132">
        <v>0</v>
      </c>
      <c r="Y249" s="111">
        <v>80250</v>
      </c>
      <c r="Z249" s="133">
        <f t="shared" si="42"/>
        <v>80250</v>
      </c>
      <c r="AA249" s="133">
        <f t="shared" si="45"/>
        <v>0</v>
      </c>
      <c r="AB249" s="141"/>
      <c r="AC249" s="132">
        <v>57000</v>
      </c>
      <c r="AD249" s="132">
        <v>0</v>
      </c>
      <c r="AE249" s="132">
        <v>4000</v>
      </c>
      <c r="AF249" s="132">
        <v>0</v>
      </c>
      <c r="AG249" s="132">
        <v>5000</v>
      </c>
      <c r="AH249" s="132">
        <v>0</v>
      </c>
      <c r="AI249" s="111">
        <v>66000</v>
      </c>
      <c r="AJ249" s="134">
        <f t="shared" si="48"/>
        <v>66000</v>
      </c>
      <c r="AK249" s="134">
        <f t="shared" si="36"/>
        <v>0</v>
      </c>
      <c r="AL249" s="142"/>
      <c r="AM249" s="132">
        <f>57000-14250</f>
        <v>42750</v>
      </c>
      <c r="AN249" s="132">
        <v>0</v>
      </c>
      <c r="AO249" s="132">
        <v>4000</v>
      </c>
      <c r="AP249" s="132">
        <v>0</v>
      </c>
      <c r="AQ249" s="132">
        <v>5000</v>
      </c>
      <c r="AR249" s="132">
        <v>0</v>
      </c>
      <c r="AS249" s="116">
        <f>SUM(AM249:AR249)</f>
        <v>51750</v>
      </c>
      <c r="AT249" s="134">
        <f t="shared" si="47"/>
        <v>51750</v>
      </c>
      <c r="AU249" s="134">
        <f t="shared" si="37"/>
        <v>0</v>
      </c>
      <c r="AV249" s="142"/>
      <c r="AW249" s="135"/>
      <c r="AX249" s="135"/>
      <c r="AY249" s="135"/>
      <c r="AZ249" s="135"/>
      <c r="BA249" s="135"/>
      <c r="BB249" s="116"/>
      <c r="BC249" s="113"/>
      <c r="BD249" s="116"/>
      <c r="BE249" s="113"/>
      <c r="BF249" s="116"/>
      <c r="BG249" s="116"/>
      <c r="BH249" s="137">
        <f t="shared" si="38"/>
        <v>198000</v>
      </c>
      <c r="BI249" s="138">
        <f t="shared" si="39"/>
        <v>51750</v>
      </c>
      <c r="BJ249" s="126"/>
      <c r="BK249" s="91"/>
    </row>
    <row r="250" spans="1:63" ht="15.75">
      <c r="A250" s="123">
        <v>501340</v>
      </c>
      <c r="B250" s="126">
        <v>210781</v>
      </c>
      <c r="C250" s="124" t="s">
        <v>1249</v>
      </c>
      <c r="D250" s="124" t="s">
        <v>1250</v>
      </c>
      <c r="E250" s="125" t="s">
        <v>1247</v>
      </c>
      <c r="F250" s="124" t="s">
        <v>1248</v>
      </c>
      <c r="G250" s="127" t="s">
        <v>46</v>
      </c>
      <c r="H250" s="126" t="s">
        <v>628</v>
      </c>
      <c r="I250" s="126" t="s">
        <v>598</v>
      </c>
      <c r="J250" s="126" t="s">
        <v>696</v>
      </c>
      <c r="K250" s="128" t="s">
        <v>882</v>
      </c>
      <c r="L250" s="121" t="s">
        <v>515</v>
      </c>
      <c r="M250" s="123" t="s">
        <v>698</v>
      </c>
      <c r="N250" s="129">
        <v>42614</v>
      </c>
      <c r="O250" s="129">
        <v>43708</v>
      </c>
      <c r="P250" s="129">
        <v>43921</v>
      </c>
      <c r="Q250" s="130">
        <v>225000</v>
      </c>
      <c r="R250" s="113"/>
      <c r="S250" s="132">
        <v>40000</v>
      </c>
      <c r="T250" s="132">
        <v>0</v>
      </c>
      <c r="U250" s="132">
        <v>35000</v>
      </c>
      <c r="V250" s="132"/>
      <c r="W250" s="132">
        <v>0</v>
      </c>
      <c r="X250" s="132">
        <v>0</v>
      </c>
      <c r="Y250" s="111">
        <v>75000</v>
      </c>
      <c r="Z250" s="133">
        <f t="shared" si="42"/>
        <v>75000</v>
      </c>
      <c r="AA250" s="133">
        <f t="shared" si="45"/>
        <v>0</v>
      </c>
      <c r="AB250" s="141"/>
      <c r="AC250" s="132">
        <v>40000</v>
      </c>
      <c r="AD250" s="132">
        <v>0</v>
      </c>
      <c r="AE250" s="132">
        <v>35000</v>
      </c>
      <c r="AF250" s="132">
        <v>0</v>
      </c>
      <c r="AG250" s="132">
        <v>0</v>
      </c>
      <c r="AH250" s="132"/>
      <c r="AI250" s="111">
        <v>75000</v>
      </c>
      <c r="AJ250" s="134">
        <f t="shared" si="48"/>
        <v>75000</v>
      </c>
      <c r="AK250" s="134">
        <f t="shared" si="36"/>
        <v>0</v>
      </c>
      <c r="AL250" s="142"/>
      <c r="AM250" s="135">
        <v>40000</v>
      </c>
      <c r="AN250" s="135">
        <v>0</v>
      </c>
      <c r="AO250" s="135">
        <v>35000</v>
      </c>
      <c r="AP250" s="135"/>
      <c r="AQ250" s="135">
        <v>0</v>
      </c>
      <c r="AR250" s="135">
        <v>0</v>
      </c>
      <c r="AS250" s="116">
        <v>75000</v>
      </c>
      <c r="AT250" s="134">
        <f t="shared" si="47"/>
        <v>75000</v>
      </c>
      <c r="AU250" s="134">
        <f t="shared" si="37"/>
        <v>0</v>
      </c>
      <c r="AV250" s="142"/>
      <c r="AW250" s="135"/>
      <c r="AX250" s="135"/>
      <c r="AY250" s="135"/>
      <c r="AZ250" s="135"/>
      <c r="BA250" s="135"/>
      <c r="BB250" s="116"/>
      <c r="BC250" s="113"/>
      <c r="BD250" s="116"/>
      <c r="BE250" s="113"/>
      <c r="BF250" s="116"/>
      <c r="BG250" s="116"/>
      <c r="BH250" s="137">
        <f t="shared" si="38"/>
        <v>225000</v>
      </c>
      <c r="BI250" s="138">
        <f t="shared" si="39"/>
        <v>0</v>
      </c>
      <c r="BJ250" s="126"/>
      <c r="BK250" s="91"/>
    </row>
    <row r="251" spans="1:63" ht="15.75">
      <c r="A251" s="123">
        <v>501348</v>
      </c>
      <c r="B251" s="126">
        <v>211058</v>
      </c>
      <c r="C251" s="121" t="s">
        <v>1252</v>
      </c>
      <c r="D251" s="121" t="s">
        <v>1253</v>
      </c>
      <c r="E251" s="125" t="s">
        <v>1251</v>
      </c>
      <c r="F251" s="124" t="s">
        <v>319</v>
      </c>
      <c r="G251" s="127" t="s">
        <v>46</v>
      </c>
      <c r="H251" s="126" t="s">
        <v>628</v>
      </c>
      <c r="I251" s="126" t="s">
        <v>598</v>
      </c>
      <c r="J251" s="126" t="s">
        <v>599</v>
      </c>
      <c r="K251" s="128" t="s">
        <v>600</v>
      </c>
      <c r="L251" s="124" t="s">
        <v>515</v>
      </c>
      <c r="M251" s="126" t="s">
        <v>934</v>
      </c>
      <c r="N251" s="129">
        <v>42614</v>
      </c>
      <c r="O251" s="129">
        <v>44286</v>
      </c>
      <c r="P251" s="129">
        <v>44286</v>
      </c>
      <c r="Q251" s="144">
        <v>171000</v>
      </c>
      <c r="R251" s="150"/>
      <c r="S251" s="132">
        <v>37000</v>
      </c>
      <c r="T251" s="132">
        <v>0</v>
      </c>
      <c r="U251" s="132">
        <v>20000</v>
      </c>
      <c r="V251" s="132"/>
      <c r="W251" s="132">
        <v>0</v>
      </c>
      <c r="X251" s="132">
        <v>0</v>
      </c>
      <c r="Y251" s="111">
        <v>57000</v>
      </c>
      <c r="Z251" s="133">
        <f t="shared" ref="Z251:Z277" si="49">SUM(R251:X251)</f>
        <v>57000</v>
      </c>
      <c r="AA251" s="133">
        <f t="shared" si="45"/>
        <v>0</v>
      </c>
      <c r="AB251" s="141"/>
      <c r="AC251" s="132">
        <v>37000</v>
      </c>
      <c r="AD251" s="132">
        <v>0</v>
      </c>
      <c r="AE251" s="132">
        <v>20000</v>
      </c>
      <c r="AF251" s="132"/>
      <c r="AG251" s="132">
        <v>0</v>
      </c>
      <c r="AH251" s="132"/>
      <c r="AI251" s="111">
        <v>57000</v>
      </c>
      <c r="AJ251" s="134">
        <f t="shared" si="48"/>
        <v>57000</v>
      </c>
      <c r="AK251" s="134">
        <f t="shared" si="36"/>
        <v>0</v>
      </c>
      <c r="AL251" s="142"/>
      <c r="AM251" s="135">
        <v>37000</v>
      </c>
      <c r="AN251" s="135">
        <v>0</v>
      </c>
      <c r="AO251" s="135">
        <v>20000</v>
      </c>
      <c r="AP251" s="135"/>
      <c r="AQ251" s="135">
        <v>0</v>
      </c>
      <c r="AR251" s="135">
        <v>0</v>
      </c>
      <c r="AS251" s="116">
        <v>57000</v>
      </c>
      <c r="AT251" s="134">
        <f t="shared" si="47"/>
        <v>57000</v>
      </c>
      <c r="AU251" s="134">
        <f t="shared" si="37"/>
        <v>0</v>
      </c>
      <c r="AV251" s="142"/>
      <c r="AW251" s="135"/>
      <c r="AX251" s="135"/>
      <c r="AY251" s="135"/>
      <c r="AZ251" s="135"/>
      <c r="BA251" s="135"/>
      <c r="BB251" s="116"/>
      <c r="BC251" s="113"/>
      <c r="BD251" s="116"/>
      <c r="BE251" s="113"/>
      <c r="BF251" s="116"/>
      <c r="BG251" s="116"/>
      <c r="BH251" s="137">
        <f t="shared" si="38"/>
        <v>171000</v>
      </c>
      <c r="BI251" s="138">
        <f t="shared" si="39"/>
        <v>0</v>
      </c>
      <c r="BJ251" s="147"/>
      <c r="BK251" s="91"/>
    </row>
    <row r="252" spans="1:63" ht="15.75">
      <c r="A252" s="123">
        <v>507778</v>
      </c>
      <c r="B252" s="126">
        <v>211058</v>
      </c>
      <c r="C252" s="121" t="s">
        <v>1252</v>
      </c>
      <c r="D252" s="121" t="s">
        <v>1253</v>
      </c>
      <c r="E252" s="125" t="s">
        <v>1251</v>
      </c>
      <c r="F252" s="124" t="s">
        <v>319</v>
      </c>
      <c r="G252" s="127" t="s">
        <v>46</v>
      </c>
      <c r="H252" s="126" t="s">
        <v>628</v>
      </c>
      <c r="I252" s="126" t="s">
        <v>598</v>
      </c>
      <c r="J252" s="126" t="s">
        <v>599</v>
      </c>
      <c r="K252" s="128" t="s">
        <v>600</v>
      </c>
      <c r="L252" s="121" t="s">
        <v>519</v>
      </c>
      <c r="M252" s="126" t="s">
        <v>965</v>
      </c>
      <c r="N252" s="129">
        <v>43709</v>
      </c>
      <c r="O252" s="129">
        <v>44530</v>
      </c>
      <c r="P252" s="129">
        <v>44530</v>
      </c>
      <c r="Q252" s="130">
        <f>76000+11875+76000</f>
        <v>163875</v>
      </c>
      <c r="R252" s="113"/>
      <c r="S252" s="132">
        <f>47500+11875</f>
        <v>59375</v>
      </c>
      <c r="T252" s="132">
        <v>0</v>
      </c>
      <c r="U252" s="132">
        <v>18500</v>
      </c>
      <c r="V252" s="132">
        <v>0</v>
      </c>
      <c r="W252" s="132">
        <v>10000</v>
      </c>
      <c r="X252" s="132">
        <v>0</v>
      </c>
      <c r="Y252" s="111">
        <v>87875</v>
      </c>
      <c r="Z252" s="133">
        <f t="shared" si="49"/>
        <v>87875</v>
      </c>
      <c r="AA252" s="133">
        <f t="shared" si="45"/>
        <v>0</v>
      </c>
      <c r="AB252" s="141"/>
      <c r="AC252" s="132">
        <v>47500</v>
      </c>
      <c r="AD252" s="132">
        <v>0</v>
      </c>
      <c r="AE252" s="132">
        <v>18500</v>
      </c>
      <c r="AF252" s="132">
        <v>0</v>
      </c>
      <c r="AG252" s="132">
        <v>10000</v>
      </c>
      <c r="AH252" s="132">
        <v>0</v>
      </c>
      <c r="AI252" s="111">
        <v>76000</v>
      </c>
      <c r="AJ252" s="134">
        <f t="shared" si="48"/>
        <v>76000</v>
      </c>
      <c r="AK252" s="134">
        <f t="shared" si="36"/>
        <v>0</v>
      </c>
      <c r="AL252" s="142"/>
      <c r="AM252" s="132">
        <f>47500-11875</f>
        <v>35625</v>
      </c>
      <c r="AN252" s="132">
        <v>0</v>
      </c>
      <c r="AO252" s="132">
        <v>18500</v>
      </c>
      <c r="AP252" s="132">
        <v>0</v>
      </c>
      <c r="AQ252" s="132">
        <v>10000</v>
      </c>
      <c r="AR252" s="132">
        <v>0</v>
      </c>
      <c r="AS252" s="116">
        <f>SUM(AM252:AR252)</f>
        <v>64125</v>
      </c>
      <c r="AT252" s="134">
        <f t="shared" si="47"/>
        <v>64125</v>
      </c>
      <c r="AU252" s="134">
        <f t="shared" si="37"/>
        <v>0</v>
      </c>
      <c r="AV252" s="142"/>
      <c r="AW252" s="135"/>
      <c r="AX252" s="135"/>
      <c r="AY252" s="135"/>
      <c r="AZ252" s="135"/>
      <c r="BA252" s="135"/>
      <c r="BB252" s="116"/>
      <c r="BC252" s="113"/>
      <c r="BD252" s="116"/>
      <c r="BE252" s="113"/>
      <c r="BF252" s="116"/>
      <c r="BG252" s="116"/>
      <c r="BH252" s="137">
        <f t="shared" si="38"/>
        <v>228000</v>
      </c>
      <c r="BI252" s="138">
        <f t="shared" si="39"/>
        <v>64125</v>
      </c>
      <c r="BJ252" s="147"/>
      <c r="BK252" s="91"/>
    </row>
    <row r="253" spans="1:63" ht="15.75">
      <c r="A253" s="123">
        <v>508292</v>
      </c>
      <c r="B253" s="126">
        <v>211058</v>
      </c>
      <c r="C253" s="121" t="s">
        <v>1252</v>
      </c>
      <c r="D253" s="121" t="s">
        <v>1253</v>
      </c>
      <c r="E253" s="125" t="s">
        <v>1251</v>
      </c>
      <c r="F253" s="124" t="s">
        <v>319</v>
      </c>
      <c r="G253" s="127" t="s">
        <v>46</v>
      </c>
      <c r="H253" s="126" t="s">
        <v>597</v>
      </c>
      <c r="I253" s="126" t="s">
        <v>598</v>
      </c>
      <c r="J253" s="126" t="s">
        <v>599</v>
      </c>
      <c r="K253" s="128" t="s">
        <v>600</v>
      </c>
      <c r="L253" s="121" t="s">
        <v>519</v>
      </c>
      <c r="M253" s="126" t="s">
        <v>1254</v>
      </c>
      <c r="N253" s="129">
        <v>43709</v>
      </c>
      <c r="O253" s="129">
        <v>44530</v>
      </c>
      <c r="P253" s="129">
        <v>44530</v>
      </c>
      <c r="Q253" s="130">
        <f>118750+100000</f>
        <v>218750</v>
      </c>
      <c r="R253" s="113"/>
      <c r="S253" s="132">
        <v>93750</v>
      </c>
      <c r="T253" s="132">
        <v>0</v>
      </c>
      <c r="U253" s="132">
        <v>25000</v>
      </c>
      <c r="V253" s="132"/>
      <c r="W253" s="132">
        <v>0</v>
      </c>
      <c r="X253" s="132">
        <v>0</v>
      </c>
      <c r="Y253" s="111">
        <v>118750</v>
      </c>
      <c r="Z253" s="133">
        <f t="shared" si="49"/>
        <v>118750</v>
      </c>
      <c r="AA253" s="133">
        <f t="shared" si="45"/>
        <v>0</v>
      </c>
      <c r="AB253" s="141"/>
      <c r="AC253" s="132">
        <v>75000</v>
      </c>
      <c r="AD253" s="132">
        <v>0</v>
      </c>
      <c r="AE253" s="132">
        <v>25000</v>
      </c>
      <c r="AF253" s="132"/>
      <c r="AG253" s="132">
        <v>0</v>
      </c>
      <c r="AH253" s="132">
        <v>0</v>
      </c>
      <c r="AI253" s="111">
        <v>100000</v>
      </c>
      <c r="AJ253" s="134">
        <f t="shared" si="48"/>
        <v>100000</v>
      </c>
      <c r="AK253" s="134">
        <f t="shared" si="36"/>
        <v>0</v>
      </c>
      <c r="AL253" s="142"/>
      <c r="AM253" s="132">
        <v>56250</v>
      </c>
      <c r="AN253" s="132">
        <v>0</v>
      </c>
      <c r="AO253" s="132">
        <v>25000</v>
      </c>
      <c r="AP253" s="132">
        <v>0</v>
      </c>
      <c r="AQ253" s="132">
        <v>0</v>
      </c>
      <c r="AR253" s="132">
        <v>0</v>
      </c>
      <c r="AS253" s="116">
        <f>SUM(AM253:AR253)</f>
        <v>81250</v>
      </c>
      <c r="AT253" s="134">
        <f t="shared" si="47"/>
        <v>81250</v>
      </c>
      <c r="AU253" s="134">
        <f t="shared" si="37"/>
        <v>0</v>
      </c>
      <c r="AV253" s="142"/>
      <c r="AW253" s="135"/>
      <c r="AX253" s="135"/>
      <c r="AY253" s="135"/>
      <c r="AZ253" s="135"/>
      <c r="BA253" s="135"/>
      <c r="BB253" s="116"/>
      <c r="BC253" s="113"/>
      <c r="BD253" s="116"/>
      <c r="BE253" s="113"/>
      <c r="BF253" s="116"/>
      <c r="BG253" s="116"/>
      <c r="BH253" s="137">
        <f t="shared" si="38"/>
        <v>300000</v>
      </c>
      <c r="BI253" s="138">
        <f t="shared" si="39"/>
        <v>81250</v>
      </c>
      <c r="BJ253" s="147"/>
      <c r="BK253" s="91"/>
    </row>
    <row r="254" spans="1:63" ht="15.75">
      <c r="A254" s="123">
        <v>501336</v>
      </c>
      <c r="B254" s="126">
        <v>211063</v>
      </c>
      <c r="C254" s="124" t="s">
        <v>1256</v>
      </c>
      <c r="D254" s="124" t="s">
        <v>1257</v>
      </c>
      <c r="E254" s="125" t="s">
        <v>1255</v>
      </c>
      <c r="F254" s="124" t="s">
        <v>290</v>
      </c>
      <c r="G254" s="127" t="s">
        <v>68</v>
      </c>
      <c r="H254" s="126" t="s">
        <v>628</v>
      </c>
      <c r="I254" s="126" t="s">
        <v>598</v>
      </c>
      <c r="J254" s="126" t="s">
        <v>650</v>
      </c>
      <c r="K254" s="128" t="s">
        <v>651</v>
      </c>
      <c r="L254" s="121" t="s">
        <v>515</v>
      </c>
      <c r="M254" s="123" t="s">
        <v>712</v>
      </c>
      <c r="N254" s="129">
        <v>42614</v>
      </c>
      <c r="O254" s="129">
        <v>43708</v>
      </c>
      <c r="P254" s="129">
        <v>44145</v>
      </c>
      <c r="Q254" s="130">
        <v>345000</v>
      </c>
      <c r="R254" s="113"/>
      <c r="S254" s="132">
        <v>77175</v>
      </c>
      <c r="T254" s="132">
        <v>0</v>
      </c>
      <c r="U254" s="132">
        <v>32825</v>
      </c>
      <c r="V254" s="132"/>
      <c r="W254" s="132">
        <v>5000</v>
      </c>
      <c r="X254" s="132">
        <v>0</v>
      </c>
      <c r="Y254" s="111">
        <v>115000</v>
      </c>
      <c r="Z254" s="133">
        <f t="shared" si="49"/>
        <v>115000</v>
      </c>
      <c r="AA254" s="133">
        <f t="shared" si="45"/>
        <v>0</v>
      </c>
      <c r="AB254" s="141"/>
      <c r="AC254" s="132">
        <v>77175</v>
      </c>
      <c r="AD254" s="132">
        <v>0</v>
      </c>
      <c r="AE254" s="132">
        <v>32825</v>
      </c>
      <c r="AF254" s="132">
        <v>5000</v>
      </c>
      <c r="AG254" s="132">
        <v>0</v>
      </c>
      <c r="AH254" s="132"/>
      <c r="AI254" s="111">
        <v>115000</v>
      </c>
      <c r="AJ254" s="134">
        <f t="shared" si="48"/>
        <v>115000</v>
      </c>
      <c r="AK254" s="134">
        <f t="shared" si="36"/>
        <v>0</v>
      </c>
      <c r="AL254" s="142"/>
      <c r="AM254" s="135">
        <v>77175</v>
      </c>
      <c r="AN254" s="135">
        <v>0</v>
      </c>
      <c r="AO254" s="135">
        <v>32825</v>
      </c>
      <c r="AP254" s="135"/>
      <c r="AQ254" s="135">
        <v>5000</v>
      </c>
      <c r="AR254" s="135">
        <v>0</v>
      </c>
      <c r="AS254" s="116">
        <v>115000</v>
      </c>
      <c r="AT254" s="134">
        <f t="shared" si="47"/>
        <v>115000</v>
      </c>
      <c r="AU254" s="134">
        <f t="shared" si="37"/>
        <v>0</v>
      </c>
      <c r="AV254" s="142"/>
      <c r="AW254" s="135"/>
      <c r="AX254" s="135"/>
      <c r="AY254" s="135"/>
      <c r="AZ254" s="135"/>
      <c r="BA254" s="135"/>
      <c r="BB254" s="116"/>
      <c r="BC254" s="113"/>
      <c r="BD254" s="116"/>
      <c r="BE254" s="113"/>
      <c r="BF254" s="116"/>
      <c r="BG254" s="116"/>
      <c r="BH254" s="137">
        <f t="shared" si="38"/>
        <v>345000</v>
      </c>
      <c r="BI254" s="138">
        <f t="shared" si="39"/>
        <v>0</v>
      </c>
      <c r="BJ254" s="126"/>
      <c r="BK254" s="91"/>
    </row>
    <row r="255" spans="1:63" ht="15.75">
      <c r="A255" s="123">
        <v>507693</v>
      </c>
      <c r="B255" s="126">
        <v>211063</v>
      </c>
      <c r="C255" s="124" t="s">
        <v>1256</v>
      </c>
      <c r="D255" s="124" t="s">
        <v>1257</v>
      </c>
      <c r="E255" s="125" t="s">
        <v>1255</v>
      </c>
      <c r="F255" s="124" t="s">
        <v>290</v>
      </c>
      <c r="G255" s="127" t="s">
        <v>68</v>
      </c>
      <c r="H255" s="126" t="s">
        <v>628</v>
      </c>
      <c r="I255" s="126" t="s">
        <v>598</v>
      </c>
      <c r="J255" s="126" t="s">
        <v>650</v>
      </c>
      <c r="K255" s="128" t="s">
        <v>651</v>
      </c>
      <c r="L255" s="121" t="s">
        <v>519</v>
      </c>
      <c r="M255" s="123" t="s">
        <v>717</v>
      </c>
      <c r="N255" s="129">
        <v>43709</v>
      </c>
      <c r="O255" s="129">
        <v>44530</v>
      </c>
      <c r="P255" s="129">
        <v>44530</v>
      </c>
      <c r="Q255" s="130">
        <f>33450+33450</f>
        <v>66900</v>
      </c>
      <c r="R255" s="113"/>
      <c r="S255" s="132">
        <v>20000</v>
      </c>
      <c r="T255" s="132"/>
      <c r="U255" s="132">
        <v>13450</v>
      </c>
      <c r="V255" s="132"/>
      <c r="W255" s="132"/>
      <c r="X255" s="132"/>
      <c r="Y255" s="111">
        <v>33450</v>
      </c>
      <c r="Z255" s="133">
        <f t="shared" si="49"/>
        <v>33450</v>
      </c>
      <c r="AA255" s="133">
        <f t="shared" si="45"/>
        <v>0</v>
      </c>
      <c r="AB255" s="141"/>
      <c r="AC255" s="132">
        <v>20000</v>
      </c>
      <c r="AD255" s="132"/>
      <c r="AE255" s="132">
        <v>13450</v>
      </c>
      <c r="AF255" s="132"/>
      <c r="AG255" s="132"/>
      <c r="AH255" s="132"/>
      <c r="AI255" s="111">
        <v>33450</v>
      </c>
      <c r="AJ255" s="134">
        <f t="shared" si="48"/>
        <v>33450</v>
      </c>
      <c r="AK255" s="134">
        <f t="shared" si="36"/>
        <v>0</v>
      </c>
      <c r="AL255" s="142"/>
      <c r="AM255" s="132">
        <v>20000</v>
      </c>
      <c r="AN255" s="132"/>
      <c r="AO255" s="132">
        <v>13450</v>
      </c>
      <c r="AP255" s="132"/>
      <c r="AQ255" s="132"/>
      <c r="AR255" s="132"/>
      <c r="AS255" s="116">
        <f>SUM(AM255:AR255)</f>
        <v>33450</v>
      </c>
      <c r="AT255" s="134">
        <f t="shared" si="47"/>
        <v>33450</v>
      </c>
      <c r="AU255" s="134">
        <f t="shared" si="37"/>
        <v>0</v>
      </c>
      <c r="AV255" s="142"/>
      <c r="AW255" s="135"/>
      <c r="AX255" s="135"/>
      <c r="AY255" s="135"/>
      <c r="AZ255" s="135"/>
      <c r="BA255" s="135"/>
      <c r="BB255" s="116"/>
      <c r="BC255" s="113"/>
      <c r="BD255" s="116"/>
      <c r="BE255" s="113"/>
      <c r="BF255" s="116"/>
      <c r="BG255" s="116"/>
      <c r="BH255" s="137">
        <f t="shared" si="38"/>
        <v>100350</v>
      </c>
      <c r="BI255" s="138">
        <f t="shared" si="39"/>
        <v>33450</v>
      </c>
      <c r="BJ255" s="126"/>
      <c r="BK255" s="91"/>
    </row>
    <row r="256" spans="1:63" ht="15.75">
      <c r="A256" s="123">
        <v>500003</v>
      </c>
      <c r="B256" s="126">
        <v>211134</v>
      </c>
      <c r="C256" s="124" t="s">
        <v>1259</v>
      </c>
      <c r="D256" s="124" t="s">
        <v>1260</v>
      </c>
      <c r="E256" s="125" t="s">
        <v>1258</v>
      </c>
      <c r="F256" s="124" t="s">
        <v>286</v>
      </c>
      <c r="G256" s="127" t="s">
        <v>46</v>
      </c>
      <c r="H256" s="126" t="s">
        <v>597</v>
      </c>
      <c r="I256" s="126" t="s">
        <v>598</v>
      </c>
      <c r="J256" s="126" t="s">
        <v>888</v>
      </c>
      <c r="K256" s="128" t="s">
        <v>731</v>
      </c>
      <c r="L256" s="121" t="s">
        <v>637</v>
      </c>
      <c r="M256" s="123" t="s">
        <v>638</v>
      </c>
      <c r="N256" s="129">
        <v>42248</v>
      </c>
      <c r="O256" s="129">
        <v>42643</v>
      </c>
      <c r="P256" s="129">
        <v>42668</v>
      </c>
      <c r="Q256" s="130">
        <v>100000</v>
      </c>
      <c r="R256" s="132">
        <v>100000</v>
      </c>
      <c r="S256" s="132"/>
      <c r="T256" s="132">
        <v>0</v>
      </c>
      <c r="U256" s="132">
        <v>0</v>
      </c>
      <c r="V256" s="132"/>
      <c r="W256" s="132">
        <v>0</v>
      </c>
      <c r="X256" s="132">
        <v>0</v>
      </c>
      <c r="Y256" s="111">
        <v>100000</v>
      </c>
      <c r="Z256" s="133">
        <f t="shared" si="49"/>
        <v>100000</v>
      </c>
      <c r="AA256" s="133">
        <f t="shared" si="45"/>
        <v>0</v>
      </c>
      <c r="AB256" s="141"/>
      <c r="AC256" s="132" t="s">
        <v>602</v>
      </c>
      <c r="AD256" s="132" t="s">
        <v>602</v>
      </c>
      <c r="AE256" s="132" t="s">
        <v>602</v>
      </c>
      <c r="AF256" s="132" t="s">
        <v>602</v>
      </c>
      <c r="AG256" s="132" t="s">
        <v>602</v>
      </c>
      <c r="AH256" s="132"/>
      <c r="AI256" s="111">
        <v>0</v>
      </c>
      <c r="AJ256" s="134">
        <f t="shared" si="48"/>
        <v>0</v>
      </c>
      <c r="AK256" s="134">
        <f t="shared" si="36"/>
        <v>0</v>
      </c>
      <c r="AL256" s="142"/>
      <c r="AM256" s="132" t="s">
        <v>602</v>
      </c>
      <c r="AN256" s="132" t="s">
        <v>602</v>
      </c>
      <c r="AO256" s="132" t="s">
        <v>602</v>
      </c>
      <c r="AP256" s="132" t="s">
        <v>602</v>
      </c>
      <c r="AQ256" s="132" t="s">
        <v>602</v>
      </c>
      <c r="AR256" s="135" t="s">
        <v>602</v>
      </c>
      <c r="AS256" s="116">
        <v>0</v>
      </c>
      <c r="AT256" s="134">
        <f t="shared" si="47"/>
        <v>0</v>
      </c>
      <c r="AU256" s="134">
        <f t="shared" si="37"/>
        <v>0</v>
      </c>
      <c r="AV256" s="142"/>
      <c r="AW256" s="132" t="s">
        <v>602</v>
      </c>
      <c r="AX256" s="132" t="s">
        <v>602</v>
      </c>
      <c r="AY256" s="132" t="s">
        <v>602</v>
      </c>
      <c r="AZ256" s="132" t="s">
        <v>602</v>
      </c>
      <c r="BA256" s="132" t="s">
        <v>602</v>
      </c>
      <c r="BB256" s="116"/>
      <c r="BC256" s="113"/>
      <c r="BD256" s="116"/>
      <c r="BE256" s="113"/>
      <c r="BF256" s="116"/>
      <c r="BG256" s="116"/>
      <c r="BH256" s="137">
        <f t="shared" si="38"/>
        <v>100000</v>
      </c>
      <c r="BI256" s="138">
        <f t="shared" si="39"/>
        <v>0</v>
      </c>
      <c r="BJ256" s="126"/>
      <c r="BK256" s="91"/>
    </row>
    <row r="257" spans="1:63" ht="15.75">
      <c r="A257" s="123">
        <v>501333</v>
      </c>
      <c r="B257" s="126">
        <v>211134</v>
      </c>
      <c r="C257" s="124" t="s">
        <v>1259</v>
      </c>
      <c r="D257" s="124" t="s">
        <v>1260</v>
      </c>
      <c r="E257" s="125" t="s">
        <v>1258</v>
      </c>
      <c r="F257" s="124" t="s">
        <v>286</v>
      </c>
      <c r="G257" s="127" t="s">
        <v>46</v>
      </c>
      <c r="H257" s="126" t="s">
        <v>628</v>
      </c>
      <c r="I257" s="126" t="s">
        <v>598</v>
      </c>
      <c r="J257" s="126" t="s">
        <v>888</v>
      </c>
      <c r="K257" s="128" t="s">
        <v>731</v>
      </c>
      <c r="L257" s="121" t="s">
        <v>515</v>
      </c>
      <c r="M257" s="123" t="s">
        <v>797</v>
      </c>
      <c r="N257" s="129">
        <v>42614</v>
      </c>
      <c r="O257" s="129">
        <v>43830</v>
      </c>
      <c r="P257" s="129">
        <v>44144</v>
      </c>
      <c r="Q257" s="130">
        <v>250000</v>
      </c>
      <c r="R257" s="113"/>
      <c r="S257" s="132">
        <v>44600</v>
      </c>
      <c r="T257" s="132">
        <v>0</v>
      </c>
      <c r="U257" s="132">
        <v>30400</v>
      </c>
      <c r="V257" s="132"/>
      <c r="W257" s="132">
        <v>25000</v>
      </c>
      <c r="X257" s="132">
        <v>0</v>
      </c>
      <c r="Y257" s="111">
        <v>100000</v>
      </c>
      <c r="Z257" s="133">
        <f t="shared" si="49"/>
        <v>100000</v>
      </c>
      <c r="AA257" s="133">
        <f t="shared" si="45"/>
        <v>0</v>
      </c>
      <c r="AB257" s="141"/>
      <c r="AC257" s="132">
        <v>44600</v>
      </c>
      <c r="AD257" s="132">
        <v>0</v>
      </c>
      <c r="AE257" s="132">
        <v>30400</v>
      </c>
      <c r="AF257" s="132">
        <v>0</v>
      </c>
      <c r="AG257" s="132">
        <v>0</v>
      </c>
      <c r="AH257" s="132"/>
      <c r="AI257" s="111">
        <v>75000</v>
      </c>
      <c r="AJ257" s="134">
        <f t="shared" si="48"/>
        <v>75000</v>
      </c>
      <c r="AK257" s="134">
        <f t="shared" si="36"/>
        <v>0</v>
      </c>
      <c r="AL257" s="142"/>
      <c r="AM257" s="135">
        <v>44600</v>
      </c>
      <c r="AN257" s="135">
        <v>0</v>
      </c>
      <c r="AO257" s="135">
        <v>30400</v>
      </c>
      <c r="AP257" s="135"/>
      <c r="AQ257" s="135">
        <v>0</v>
      </c>
      <c r="AR257" s="135">
        <v>0</v>
      </c>
      <c r="AS257" s="116">
        <v>75000</v>
      </c>
      <c r="AT257" s="134">
        <f t="shared" si="47"/>
        <v>75000</v>
      </c>
      <c r="AU257" s="134">
        <f t="shared" si="37"/>
        <v>0</v>
      </c>
      <c r="AV257" s="142"/>
      <c r="AW257" s="135"/>
      <c r="AX257" s="135"/>
      <c r="AY257" s="135"/>
      <c r="AZ257" s="135"/>
      <c r="BA257" s="135"/>
      <c r="BB257" s="116"/>
      <c r="BC257" s="113"/>
      <c r="BD257" s="116"/>
      <c r="BE257" s="113"/>
      <c r="BF257" s="116"/>
      <c r="BG257" s="116"/>
      <c r="BH257" s="137">
        <f t="shared" si="38"/>
        <v>250000</v>
      </c>
      <c r="BI257" s="138">
        <f t="shared" si="39"/>
        <v>0</v>
      </c>
      <c r="BJ257" s="126"/>
      <c r="BK257" s="91"/>
    </row>
    <row r="258" spans="1:63" ht="15.75">
      <c r="A258" s="123">
        <v>501343</v>
      </c>
      <c r="B258" s="126">
        <v>211134</v>
      </c>
      <c r="C258" s="124" t="s">
        <v>1259</v>
      </c>
      <c r="D258" s="124" t="s">
        <v>1260</v>
      </c>
      <c r="E258" s="125" t="s">
        <v>1258</v>
      </c>
      <c r="F258" s="124" t="s">
        <v>286</v>
      </c>
      <c r="G258" s="127" t="s">
        <v>46</v>
      </c>
      <c r="H258" s="126" t="s">
        <v>628</v>
      </c>
      <c r="I258" s="126" t="s">
        <v>598</v>
      </c>
      <c r="J258" s="126" t="s">
        <v>888</v>
      </c>
      <c r="K258" s="128" t="s">
        <v>731</v>
      </c>
      <c r="L258" s="121" t="s">
        <v>515</v>
      </c>
      <c r="M258" s="123" t="s">
        <v>1054</v>
      </c>
      <c r="N258" s="129">
        <v>42614</v>
      </c>
      <c r="O258" s="129">
        <v>43708</v>
      </c>
      <c r="P258" s="129">
        <v>43708</v>
      </c>
      <c r="Q258" s="130">
        <v>39000</v>
      </c>
      <c r="R258" s="113"/>
      <c r="S258" s="132">
        <v>0</v>
      </c>
      <c r="T258" s="132">
        <v>0</v>
      </c>
      <c r="U258" s="132">
        <v>13000</v>
      </c>
      <c r="V258" s="132"/>
      <c r="W258" s="132">
        <v>0</v>
      </c>
      <c r="X258" s="132">
        <v>0</v>
      </c>
      <c r="Y258" s="111">
        <v>13000</v>
      </c>
      <c r="Z258" s="133">
        <f t="shared" si="49"/>
        <v>13000</v>
      </c>
      <c r="AA258" s="133">
        <f t="shared" si="45"/>
        <v>0</v>
      </c>
      <c r="AB258" s="141"/>
      <c r="AC258" s="132">
        <v>0</v>
      </c>
      <c r="AD258" s="132">
        <v>0</v>
      </c>
      <c r="AE258" s="132">
        <v>13000</v>
      </c>
      <c r="AF258" s="132">
        <v>0</v>
      </c>
      <c r="AG258" s="132">
        <v>0</v>
      </c>
      <c r="AH258" s="132"/>
      <c r="AI258" s="111">
        <v>13000</v>
      </c>
      <c r="AJ258" s="134">
        <f t="shared" si="48"/>
        <v>13000</v>
      </c>
      <c r="AK258" s="134">
        <f t="shared" ref="AK258:AK321" si="50">AJ258-AI258</f>
        <v>0</v>
      </c>
      <c r="AL258" s="142"/>
      <c r="AM258" s="135"/>
      <c r="AN258" s="135"/>
      <c r="AO258" s="135">
        <v>13000</v>
      </c>
      <c r="AP258" s="135"/>
      <c r="AQ258" s="135"/>
      <c r="AR258" s="135">
        <v>0</v>
      </c>
      <c r="AS258" s="116">
        <v>13000</v>
      </c>
      <c r="AT258" s="134">
        <f t="shared" si="47"/>
        <v>13000</v>
      </c>
      <c r="AU258" s="134">
        <f t="shared" ref="AU258:AU321" si="51">AT258-AS258</f>
        <v>0</v>
      </c>
      <c r="AV258" s="142"/>
      <c r="AW258" s="135"/>
      <c r="AX258" s="135"/>
      <c r="AY258" s="135"/>
      <c r="AZ258" s="135"/>
      <c r="BA258" s="135"/>
      <c r="BB258" s="116"/>
      <c r="BC258" s="113"/>
      <c r="BD258" s="116"/>
      <c r="BE258" s="113"/>
      <c r="BF258" s="116"/>
      <c r="BG258" s="116"/>
      <c r="BH258" s="137">
        <f t="shared" ref="BH258:BH321" si="52">SUM(AS258,AI258,Y258,BB258,BD258,BF258,BG258)</f>
        <v>39000</v>
      </c>
      <c r="BI258" s="138">
        <f t="shared" ref="BI258:BI321" si="53">BH258-Q258</f>
        <v>0</v>
      </c>
      <c r="BJ258" s="126"/>
      <c r="BK258" s="91"/>
    </row>
    <row r="259" spans="1:63" ht="15.75">
      <c r="A259" s="123">
        <v>501345</v>
      </c>
      <c r="B259" s="126">
        <v>211134</v>
      </c>
      <c r="C259" s="124" t="s">
        <v>1259</v>
      </c>
      <c r="D259" s="124" t="s">
        <v>1260</v>
      </c>
      <c r="E259" s="125" t="s">
        <v>1258</v>
      </c>
      <c r="F259" s="124" t="s">
        <v>286</v>
      </c>
      <c r="G259" s="127" t="s">
        <v>46</v>
      </c>
      <c r="H259" s="126" t="s">
        <v>628</v>
      </c>
      <c r="I259" s="126" t="s">
        <v>598</v>
      </c>
      <c r="J259" s="126" t="s">
        <v>888</v>
      </c>
      <c r="K259" s="128" t="s">
        <v>731</v>
      </c>
      <c r="L259" s="121" t="s">
        <v>515</v>
      </c>
      <c r="M259" s="123" t="s">
        <v>714</v>
      </c>
      <c r="N259" s="129">
        <v>42614</v>
      </c>
      <c r="O259" s="129">
        <v>43890</v>
      </c>
      <c r="P259" s="129">
        <v>44145</v>
      </c>
      <c r="Q259" s="130">
        <v>437886</v>
      </c>
      <c r="R259" s="113"/>
      <c r="S259" s="132">
        <v>80600</v>
      </c>
      <c r="T259" s="132">
        <v>0</v>
      </c>
      <c r="U259" s="132">
        <v>59400</v>
      </c>
      <c r="V259" s="132"/>
      <c r="W259" s="132">
        <v>11530</v>
      </c>
      <c r="X259" s="132">
        <v>0</v>
      </c>
      <c r="Y259" s="111">
        <v>151530</v>
      </c>
      <c r="Z259" s="133">
        <f t="shared" si="49"/>
        <v>151530</v>
      </c>
      <c r="AA259" s="133">
        <f t="shared" si="45"/>
        <v>0</v>
      </c>
      <c r="AB259" s="141"/>
      <c r="AC259" s="132">
        <v>80600</v>
      </c>
      <c r="AD259" s="132">
        <v>0</v>
      </c>
      <c r="AE259" s="132">
        <v>51400</v>
      </c>
      <c r="AF259" s="132">
        <v>11178</v>
      </c>
      <c r="AG259" s="132">
        <v>0</v>
      </c>
      <c r="AH259" s="132"/>
      <c r="AI259" s="111">
        <v>143178</v>
      </c>
      <c r="AJ259" s="134">
        <f t="shared" si="48"/>
        <v>143178</v>
      </c>
      <c r="AK259" s="134">
        <f t="shared" si="50"/>
        <v>0</v>
      </c>
      <c r="AL259" s="142"/>
      <c r="AM259" s="135">
        <v>80600</v>
      </c>
      <c r="AN259" s="135">
        <v>0</v>
      </c>
      <c r="AO259" s="135">
        <v>51400</v>
      </c>
      <c r="AP259" s="135"/>
      <c r="AQ259" s="135">
        <v>11178</v>
      </c>
      <c r="AR259" s="135">
        <v>0</v>
      </c>
      <c r="AS259" s="116">
        <v>143178</v>
      </c>
      <c r="AT259" s="134">
        <f t="shared" si="47"/>
        <v>143178</v>
      </c>
      <c r="AU259" s="134">
        <f t="shared" si="51"/>
        <v>0</v>
      </c>
      <c r="AV259" s="142"/>
      <c r="AW259" s="135"/>
      <c r="AX259" s="135"/>
      <c r="AY259" s="135"/>
      <c r="AZ259" s="135"/>
      <c r="BA259" s="135"/>
      <c r="BB259" s="116"/>
      <c r="BC259" s="113"/>
      <c r="BD259" s="116"/>
      <c r="BE259" s="113"/>
      <c r="BF259" s="116"/>
      <c r="BG259" s="116"/>
      <c r="BH259" s="137">
        <f t="shared" si="52"/>
        <v>437886</v>
      </c>
      <c r="BI259" s="138">
        <f t="shared" si="53"/>
        <v>0</v>
      </c>
      <c r="BJ259" s="126"/>
      <c r="BK259" s="91"/>
    </row>
    <row r="260" spans="1:63" ht="15.75">
      <c r="A260" s="123">
        <v>501349</v>
      </c>
      <c r="B260" s="126">
        <v>211134</v>
      </c>
      <c r="C260" s="124" t="s">
        <v>1259</v>
      </c>
      <c r="D260" s="124" t="s">
        <v>1260</v>
      </c>
      <c r="E260" s="125" t="s">
        <v>1258</v>
      </c>
      <c r="F260" s="124" t="s">
        <v>286</v>
      </c>
      <c r="G260" s="127" t="s">
        <v>46</v>
      </c>
      <c r="H260" s="126" t="s">
        <v>628</v>
      </c>
      <c r="I260" s="126" t="s">
        <v>598</v>
      </c>
      <c r="J260" s="126" t="s">
        <v>888</v>
      </c>
      <c r="K260" s="128" t="s">
        <v>731</v>
      </c>
      <c r="L260" s="121" t="s">
        <v>515</v>
      </c>
      <c r="M260" s="123" t="s">
        <v>640</v>
      </c>
      <c r="N260" s="129">
        <v>42614</v>
      </c>
      <c r="O260" s="129">
        <v>43708</v>
      </c>
      <c r="P260" s="129">
        <v>43708</v>
      </c>
      <c r="Q260" s="130">
        <v>46200</v>
      </c>
      <c r="R260" s="113"/>
      <c r="S260" s="132">
        <v>0</v>
      </c>
      <c r="T260" s="132">
        <v>0</v>
      </c>
      <c r="U260" s="132">
        <v>15400</v>
      </c>
      <c r="V260" s="132"/>
      <c r="W260" s="132">
        <v>0</v>
      </c>
      <c r="X260" s="132">
        <v>0</v>
      </c>
      <c r="Y260" s="111">
        <v>15400</v>
      </c>
      <c r="Z260" s="133">
        <f t="shared" si="49"/>
        <v>15400</v>
      </c>
      <c r="AA260" s="133">
        <f t="shared" si="45"/>
        <v>0</v>
      </c>
      <c r="AB260" s="141"/>
      <c r="AC260" s="132">
        <v>0</v>
      </c>
      <c r="AD260" s="132">
        <v>0</v>
      </c>
      <c r="AE260" s="132">
        <v>15400</v>
      </c>
      <c r="AF260" s="132">
        <v>0</v>
      </c>
      <c r="AG260" s="132">
        <v>0</v>
      </c>
      <c r="AH260" s="132"/>
      <c r="AI260" s="111">
        <v>15400</v>
      </c>
      <c r="AJ260" s="134">
        <f t="shared" si="48"/>
        <v>15400</v>
      </c>
      <c r="AK260" s="134">
        <f t="shared" si="50"/>
        <v>0</v>
      </c>
      <c r="AL260" s="142"/>
      <c r="AM260" s="135">
        <v>0</v>
      </c>
      <c r="AN260" s="135">
        <v>0</v>
      </c>
      <c r="AO260" s="135">
        <v>15400</v>
      </c>
      <c r="AP260" s="135"/>
      <c r="AQ260" s="135" t="s">
        <v>602</v>
      </c>
      <c r="AR260" s="135" t="s">
        <v>602</v>
      </c>
      <c r="AS260" s="116">
        <v>15400</v>
      </c>
      <c r="AT260" s="134">
        <f t="shared" si="47"/>
        <v>15400</v>
      </c>
      <c r="AU260" s="134">
        <f t="shared" si="51"/>
        <v>0</v>
      </c>
      <c r="AV260" s="142"/>
      <c r="AW260" s="135"/>
      <c r="AX260" s="135"/>
      <c r="AY260" s="135"/>
      <c r="AZ260" s="135"/>
      <c r="BA260" s="135"/>
      <c r="BB260" s="116"/>
      <c r="BC260" s="113"/>
      <c r="BD260" s="116"/>
      <c r="BE260" s="113"/>
      <c r="BF260" s="116"/>
      <c r="BG260" s="116"/>
      <c r="BH260" s="137">
        <f t="shared" si="52"/>
        <v>46200</v>
      </c>
      <c r="BI260" s="138">
        <f t="shared" si="53"/>
        <v>0</v>
      </c>
      <c r="BJ260" s="126"/>
      <c r="BK260" s="91"/>
    </row>
    <row r="261" spans="1:63" ht="15.75">
      <c r="A261" s="123">
        <v>507643</v>
      </c>
      <c r="B261" s="126">
        <v>211134</v>
      </c>
      <c r="C261" s="124" t="s">
        <v>1259</v>
      </c>
      <c r="D261" s="124" t="s">
        <v>1260</v>
      </c>
      <c r="E261" s="125" t="s">
        <v>1258</v>
      </c>
      <c r="F261" s="124" t="s">
        <v>286</v>
      </c>
      <c r="G261" s="127" t="s">
        <v>46</v>
      </c>
      <c r="H261" s="126" t="s">
        <v>628</v>
      </c>
      <c r="I261" s="126" t="s">
        <v>598</v>
      </c>
      <c r="J261" s="126" t="s">
        <v>888</v>
      </c>
      <c r="K261" s="128" t="s">
        <v>731</v>
      </c>
      <c r="L261" s="121" t="s">
        <v>519</v>
      </c>
      <c r="M261" s="123" t="s">
        <v>716</v>
      </c>
      <c r="N261" s="129">
        <v>43709</v>
      </c>
      <c r="O261" s="129">
        <v>44530</v>
      </c>
      <c r="P261" s="129">
        <v>44530</v>
      </c>
      <c r="Q261" s="130">
        <f>80000+80000</f>
        <v>160000</v>
      </c>
      <c r="R261" s="113"/>
      <c r="S261" s="132">
        <v>40000</v>
      </c>
      <c r="T261" s="132"/>
      <c r="U261" s="132">
        <v>20000</v>
      </c>
      <c r="V261" s="132"/>
      <c r="W261" s="132">
        <v>20000</v>
      </c>
      <c r="X261" s="132"/>
      <c r="Y261" s="111">
        <v>80000</v>
      </c>
      <c r="Z261" s="133">
        <f t="shared" si="49"/>
        <v>80000</v>
      </c>
      <c r="AA261" s="133">
        <f t="shared" si="45"/>
        <v>0</v>
      </c>
      <c r="AB261" s="141"/>
      <c r="AC261" s="132">
        <v>40000</v>
      </c>
      <c r="AD261" s="132"/>
      <c r="AE261" s="132">
        <v>20000</v>
      </c>
      <c r="AF261" s="132"/>
      <c r="AG261" s="132">
        <v>20000</v>
      </c>
      <c r="AH261" s="132"/>
      <c r="AI261" s="111">
        <v>80000</v>
      </c>
      <c r="AJ261" s="134">
        <f t="shared" si="48"/>
        <v>80000</v>
      </c>
      <c r="AK261" s="134">
        <f t="shared" si="50"/>
        <v>0</v>
      </c>
      <c r="AL261" s="142"/>
      <c r="AM261" s="132">
        <v>40000</v>
      </c>
      <c r="AN261" s="132"/>
      <c r="AO261" s="132">
        <v>20000</v>
      </c>
      <c r="AP261" s="132"/>
      <c r="AQ261" s="132">
        <v>20000</v>
      </c>
      <c r="AR261" s="135"/>
      <c r="AS261" s="116">
        <f>SUM(AM261:AR261)</f>
        <v>80000</v>
      </c>
      <c r="AT261" s="134">
        <f t="shared" si="47"/>
        <v>80000</v>
      </c>
      <c r="AU261" s="134">
        <f t="shared" si="51"/>
        <v>0</v>
      </c>
      <c r="AV261" s="142"/>
      <c r="AW261" s="135"/>
      <c r="AX261" s="135"/>
      <c r="AY261" s="135"/>
      <c r="AZ261" s="135"/>
      <c r="BA261" s="135"/>
      <c r="BB261" s="116"/>
      <c r="BC261" s="113"/>
      <c r="BD261" s="116"/>
      <c r="BE261" s="113"/>
      <c r="BF261" s="116"/>
      <c r="BG261" s="116"/>
      <c r="BH261" s="137">
        <f t="shared" si="52"/>
        <v>240000</v>
      </c>
      <c r="BI261" s="138">
        <f t="shared" si="53"/>
        <v>80000</v>
      </c>
      <c r="BJ261" s="126"/>
      <c r="BK261" s="91"/>
    </row>
    <row r="262" spans="1:63" ht="15.75">
      <c r="A262" s="123">
        <v>507637</v>
      </c>
      <c r="B262" s="126">
        <v>211152</v>
      </c>
      <c r="C262" s="124" t="s">
        <v>1263</v>
      </c>
      <c r="D262" s="124" t="s">
        <v>1264</v>
      </c>
      <c r="E262" s="125" t="s">
        <v>1261</v>
      </c>
      <c r="F262" s="124" t="s">
        <v>1262</v>
      </c>
      <c r="G262" s="127" t="s">
        <v>46</v>
      </c>
      <c r="H262" s="126" t="s">
        <v>628</v>
      </c>
      <c r="I262" s="126" t="s">
        <v>598</v>
      </c>
      <c r="J262" s="126" t="s">
        <v>650</v>
      </c>
      <c r="K262" s="128" t="s">
        <v>630</v>
      </c>
      <c r="L262" s="121" t="s">
        <v>519</v>
      </c>
      <c r="M262" s="123" t="s">
        <v>736</v>
      </c>
      <c r="N262" s="129">
        <v>43709</v>
      </c>
      <c r="O262" s="129">
        <v>44530</v>
      </c>
      <c r="P262" s="129">
        <v>44530</v>
      </c>
      <c r="Q262" s="130">
        <f>40800+40800</f>
        <v>81600</v>
      </c>
      <c r="R262" s="113"/>
      <c r="S262" s="132">
        <v>27125</v>
      </c>
      <c r="T262" s="132"/>
      <c r="U262" s="132">
        <v>13675</v>
      </c>
      <c r="V262" s="132"/>
      <c r="W262" s="132"/>
      <c r="X262" s="132"/>
      <c r="Y262" s="111">
        <v>40800</v>
      </c>
      <c r="Z262" s="133">
        <f t="shared" si="49"/>
        <v>40800</v>
      </c>
      <c r="AA262" s="133">
        <f t="shared" si="45"/>
        <v>0</v>
      </c>
      <c r="AB262" s="141"/>
      <c r="AC262" s="132">
        <v>27125</v>
      </c>
      <c r="AD262" s="132"/>
      <c r="AE262" s="132">
        <v>13675</v>
      </c>
      <c r="AF262" s="132"/>
      <c r="AG262" s="132"/>
      <c r="AH262" s="132"/>
      <c r="AI262" s="111">
        <v>40800</v>
      </c>
      <c r="AJ262" s="134">
        <f t="shared" si="48"/>
        <v>40800</v>
      </c>
      <c r="AK262" s="134">
        <f t="shared" si="50"/>
        <v>0</v>
      </c>
      <c r="AL262" s="142"/>
      <c r="AM262" s="132">
        <v>27125</v>
      </c>
      <c r="AN262" s="132"/>
      <c r="AO262" s="132">
        <v>13675</v>
      </c>
      <c r="AP262" s="135"/>
      <c r="AQ262" s="135"/>
      <c r="AR262" s="135"/>
      <c r="AS262" s="116">
        <f>SUM(AM262:AR262)</f>
        <v>40800</v>
      </c>
      <c r="AT262" s="134">
        <f t="shared" si="47"/>
        <v>40800</v>
      </c>
      <c r="AU262" s="134">
        <f t="shared" si="51"/>
        <v>0</v>
      </c>
      <c r="AV262" s="142"/>
      <c r="AW262" s="135"/>
      <c r="AX262" s="135"/>
      <c r="AY262" s="135"/>
      <c r="AZ262" s="135"/>
      <c r="BA262" s="135"/>
      <c r="BB262" s="116"/>
      <c r="BC262" s="113"/>
      <c r="BD262" s="116"/>
      <c r="BE262" s="113"/>
      <c r="BF262" s="116"/>
      <c r="BG262" s="116"/>
      <c r="BH262" s="137">
        <f t="shared" si="52"/>
        <v>122400</v>
      </c>
      <c r="BI262" s="138">
        <f t="shared" si="53"/>
        <v>40800</v>
      </c>
      <c r="BJ262" s="126"/>
      <c r="BK262" s="91"/>
    </row>
    <row r="263" spans="1:63" ht="15.75">
      <c r="A263" s="123">
        <v>506472</v>
      </c>
      <c r="B263" s="126">
        <v>211172</v>
      </c>
      <c r="C263" s="124" t="s">
        <v>1267</v>
      </c>
      <c r="D263" s="124" t="s">
        <v>1268</v>
      </c>
      <c r="E263" s="125" t="s">
        <v>1265</v>
      </c>
      <c r="F263" s="124" t="s">
        <v>1266</v>
      </c>
      <c r="G263" s="127" t="s">
        <v>46</v>
      </c>
      <c r="H263" s="126" t="s">
        <v>628</v>
      </c>
      <c r="I263" s="126" t="s">
        <v>609</v>
      </c>
      <c r="J263" s="126" t="s">
        <v>807</v>
      </c>
      <c r="K263" s="128" t="s">
        <v>1269</v>
      </c>
      <c r="L263" s="121" t="s">
        <v>19</v>
      </c>
      <c r="M263" s="123" t="s">
        <v>631</v>
      </c>
      <c r="N263" s="129">
        <v>43556</v>
      </c>
      <c r="O263" s="129">
        <v>43921</v>
      </c>
      <c r="P263" s="129">
        <v>43921</v>
      </c>
      <c r="Q263" s="130">
        <v>11975</v>
      </c>
      <c r="R263" s="113"/>
      <c r="S263" s="132">
        <v>0</v>
      </c>
      <c r="T263" s="132">
        <v>11975</v>
      </c>
      <c r="U263" s="132">
        <v>0</v>
      </c>
      <c r="V263" s="132">
        <v>0</v>
      </c>
      <c r="W263" s="132">
        <v>0</v>
      </c>
      <c r="X263" s="132">
        <v>0</v>
      </c>
      <c r="Y263" s="111">
        <v>11975</v>
      </c>
      <c r="Z263" s="133">
        <f t="shared" si="49"/>
        <v>11975</v>
      </c>
      <c r="AA263" s="133">
        <f t="shared" si="45"/>
        <v>0</v>
      </c>
      <c r="AB263" s="141"/>
      <c r="AC263" s="132" t="s">
        <v>602</v>
      </c>
      <c r="AD263" s="132" t="s">
        <v>602</v>
      </c>
      <c r="AE263" s="132" t="s">
        <v>602</v>
      </c>
      <c r="AF263" s="132" t="s">
        <v>602</v>
      </c>
      <c r="AG263" s="132" t="s">
        <v>602</v>
      </c>
      <c r="AH263" s="132"/>
      <c r="AI263" s="111">
        <v>0</v>
      </c>
      <c r="AJ263" s="134">
        <f t="shared" si="48"/>
        <v>0</v>
      </c>
      <c r="AK263" s="134">
        <f t="shared" si="50"/>
        <v>0</v>
      </c>
      <c r="AL263" s="145"/>
      <c r="AM263" s="132">
        <v>0</v>
      </c>
      <c r="AN263" s="132">
        <v>0</v>
      </c>
      <c r="AO263" s="132">
        <v>0</v>
      </c>
      <c r="AP263" s="132">
        <v>0</v>
      </c>
      <c r="AQ263" s="132">
        <v>0</v>
      </c>
      <c r="AR263" s="132">
        <v>0</v>
      </c>
      <c r="AS263" s="116">
        <v>0</v>
      </c>
      <c r="AT263" s="134">
        <f>SUM(AL263:AS263)</f>
        <v>0</v>
      </c>
      <c r="AU263" s="134">
        <f t="shared" si="51"/>
        <v>0</v>
      </c>
      <c r="AV263" s="142"/>
      <c r="AW263" s="135"/>
      <c r="AX263" s="135"/>
      <c r="AY263" s="135"/>
      <c r="AZ263" s="135"/>
      <c r="BA263" s="135"/>
      <c r="BB263" s="116"/>
      <c r="BC263" s="113"/>
      <c r="BD263" s="116"/>
      <c r="BE263" s="113"/>
      <c r="BF263" s="116"/>
      <c r="BG263" s="116"/>
      <c r="BH263" s="137">
        <f t="shared" si="52"/>
        <v>11975</v>
      </c>
      <c r="BI263" s="138">
        <f t="shared" si="53"/>
        <v>0</v>
      </c>
      <c r="BJ263" s="126"/>
      <c r="BK263" s="91"/>
    </row>
    <row r="264" spans="1:63" ht="15.75">
      <c r="A264" s="123">
        <v>501348</v>
      </c>
      <c r="B264" s="126">
        <v>211191</v>
      </c>
      <c r="C264" s="121" t="s">
        <v>1272</v>
      </c>
      <c r="D264" s="121" t="s">
        <v>1072</v>
      </c>
      <c r="E264" s="125" t="s">
        <v>1270</v>
      </c>
      <c r="F264" s="124" t="s">
        <v>1271</v>
      </c>
      <c r="G264" s="127" t="s">
        <v>82</v>
      </c>
      <c r="H264" s="123" t="s">
        <v>628</v>
      </c>
      <c r="I264" s="126" t="s">
        <v>598</v>
      </c>
      <c r="J264" s="126" t="s">
        <v>888</v>
      </c>
      <c r="K264" s="128" t="s">
        <v>731</v>
      </c>
      <c r="L264" s="121" t="s">
        <v>515</v>
      </c>
      <c r="M264" s="143" t="s">
        <v>934</v>
      </c>
      <c r="N264" s="129">
        <v>42614</v>
      </c>
      <c r="O264" s="129">
        <v>44286</v>
      </c>
      <c r="P264" s="129">
        <v>44286</v>
      </c>
      <c r="Q264" s="144">
        <v>349500</v>
      </c>
      <c r="R264" s="150"/>
      <c r="S264" s="132">
        <v>83585</v>
      </c>
      <c r="T264" s="132">
        <v>3995</v>
      </c>
      <c r="U264" s="132">
        <v>28920</v>
      </c>
      <c r="V264" s="132"/>
      <c r="W264" s="132">
        <v>0</v>
      </c>
      <c r="X264" s="132">
        <v>0</v>
      </c>
      <c r="Y264" s="111">
        <v>116500</v>
      </c>
      <c r="Z264" s="133">
        <f t="shared" si="49"/>
        <v>116500</v>
      </c>
      <c r="AA264" s="133">
        <f t="shared" si="45"/>
        <v>0</v>
      </c>
      <c r="AB264" s="141"/>
      <c r="AC264" s="132">
        <v>83585</v>
      </c>
      <c r="AD264" s="132">
        <v>3995</v>
      </c>
      <c r="AE264" s="132">
        <v>28920</v>
      </c>
      <c r="AF264" s="132">
        <v>0</v>
      </c>
      <c r="AG264" s="132">
        <v>0</v>
      </c>
      <c r="AH264" s="132"/>
      <c r="AI264" s="111">
        <v>116500</v>
      </c>
      <c r="AJ264" s="134">
        <f t="shared" si="48"/>
        <v>116500</v>
      </c>
      <c r="AK264" s="134">
        <f t="shared" si="50"/>
        <v>0</v>
      </c>
      <c r="AL264" s="142"/>
      <c r="AM264" s="135">
        <v>83585</v>
      </c>
      <c r="AN264" s="135">
        <v>3995</v>
      </c>
      <c r="AO264" s="135">
        <v>28920</v>
      </c>
      <c r="AP264" s="135"/>
      <c r="AQ264" s="135">
        <v>0</v>
      </c>
      <c r="AR264" s="135">
        <v>0</v>
      </c>
      <c r="AS264" s="116">
        <v>116500</v>
      </c>
      <c r="AT264" s="134">
        <f t="shared" ref="AT264:AT295" si="54">SUM(AL264:AR264)</f>
        <v>116500</v>
      </c>
      <c r="AU264" s="134">
        <f t="shared" si="51"/>
        <v>0</v>
      </c>
      <c r="AV264" s="142"/>
      <c r="AW264" s="135"/>
      <c r="AX264" s="135"/>
      <c r="AY264" s="135"/>
      <c r="AZ264" s="135"/>
      <c r="BA264" s="135"/>
      <c r="BB264" s="116"/>
      <c r="BC264" s="113"/>
      <c r="BD264" s="116"/>
      <c r="BE264" s="113"/>
      <c r="BF264" s="116"/>
      <c r="BG264" s="116"/>
      <c r="BH264" s="137">
        <f t="shared" si="52"/>
        <v>349500</v>
      </c>
      <c r="BI264" s="138">
        <f t="shared" si="53"/>
        <v>0</v>
      </c>
      <c r="BJ264" s="147"/>
      <c r="BK264" s="91"/>
    </row>
    <row r="265" spans="1:63" ht="15.75">
      <c r="A265" s="123">
        <v>504344</v>
      </c>
      <c r="B265" s="126">
        <v>211218</v>
      </c>
      <c r="C265" s="148" t="s">
        <v>1275</v>
      </c>
      <c r="D265" s="148" t="s">
        <v>1276</v>
      </c>
      <c r="E265" s="125" t="s">
        <v>1273</v>
      </c>
      <c r="F265" s="124" t="s">
        <v>1274</v>
      </c>
      <c r="G265" s="127" t="s">
        <v>1277</v>
      </c>
      <c r="H265" s="123" t="s">
        <v>628</v>
      </c>
      <c r="I265" s="126" t="s">
        <v>598</v>
      </c>
      <c r="J265" s="126" t="s">
        <v>659</v>
      </c>
      <c r="K265" s="128" t="s">
        <v>660</v>
      </c>
      <c r="L265" s="121" t="s">
        <v>19</v>
      </c>
      <c r="M265" s="123" t="s">
        <v>1278</v>
      </c>
      <c r="N265" s="129">
        <v>43191</v>
      </c>
      <c r="O265" s="129">
        <v>43921</v>
      </c>
      <c r="P265" s="129">
        <v>43921</v>
      </c>
      <c r="Q265" s="144">
        <f>14227+14227</f>
        <v>28454</v>
      </c>
      <c r="R265" s="150"/>
      <c r="S265" s="132">
        <v>14227</v>
      </c>
      <c r="T265" s="132">
        <v>0</v>
      </c>
      <c r="U265" s="132">
        <v>0</v>
      </c>
      <c r="V265" s="132">
        <v>0</v>
      </c>
      <c r="W265" s="132">
        <v>0</v>
      </c>
      <c r="X265" s="132">
        <v>0</v>
      </c>
      <c r="Y265" s="111">
        <f>SUM(R265:X265)</f>
        <v>14227</v>
      </c>
      <c r="Z265" s="133">
        <f t="shared" si="49"/>
        <v>14227</v>
      </c>
      <c r="AA265" s="133">
        <f t="shared" si="45"/>
        <v>0</v>
      </c>
      <c r="AB265" s="141"/>
      <c r="AC265" s="132">
        <v>14227</v>
      </c>
      <c r="AD265" s="132">
        <v>0</v>
      </c>
      <c r="AE265" s="132">
        <v>0</v>
      </c>
      <c r="AF265" s="132">
        <v>0</v>
      </c>
      <c r="AG265" s="132">
        <v>0</v>
      </c>
      <c r="AH265" s="132"/>
      <c r="AI265" s="111">
        <v>14227</v>
      </c>
      <c r="AJ265" s="134">
        <f t="shared" si="48"/>
        <v>14227</v>
      </c>
      <c r="AK265" s="134">
        <f t="shared" si="50"/>
        <v>0</v>
      </c>
      <c r="AL265" s="145"/>
      <c r="AM265" s="132">
        <v>0</v>
      </c>
      <c r="AN265" s="132">
        <v>0</v>
      </c>
      <c r="AO265" s="132">
        <v>0</v>
      </c>
      <c r="AP265" s="132">
        <v>0</v>
      </c>
      <c r="AQ265" s="132">
        <v>0</v>
      </c>
      <c r="AR265" s="132">
        <v>0</v>
      </c>
      <c r="AS265" s="116">
        <v>0</v>
      </c>
      <c r="AT265" s="134">
        <f t="shared" si="54"/>
        <v>0</v>
      </c>
      <c r="AU265" s="134">
        <f t="shared" si="51"/>
        <v>0</v>
      </c>
      <c r="AV265" s="142"/>
      <c r="AW265" s="135"/>
      <c r="AX265" s="135"/>
      <c r="AY265" s="135"/>
      <c r="AZ265" s="135"/>
      <c r="BA265" s="135"/>
      <c r="BB265" s="116"/>
      <c r="BC265" s="113"/>
      <c r="BD265" s="116"/>
      <c r="BE265" s="113"/>
      <c r="BF265" s="116"/>
      <c r="BG265" s="116"/>
      <c r="BH265" s="137">
        <f t="shared" si="52"/>
        <v>28454</v>
      </c>
      <c r="BI265" s="138">
        <f t="shared" si="53"/>
        <v>0</v>
      </c>
      <c r="BJ265" s="147"/>
      <c r="BK265" s="91"/>
    </row>
    <row r="266" spans="1:63" ht="15.75">
      <c r="A266" s="123">
        <v>501333</v>
      </c>
      <c r="B266" s="126">
        <v>211256</v>
      </c>
      <c r="C266" s="121" t="s">
        <v>1280</v>
      </c>
      <c r="D266" s="121" t="s">
        <v>1136</v>
      </c>
      <c r="E266" s="125" t="s">
        <v>1279</v>
      </c>
      <c r="F266" s="124" t="s">
        <v>250</v>
      </c>
      <c r="G266" s="127" t="s">
        <v>68</v>
      </c>
      <c r="H266" s="123" t="s">
        <v>628</v>
      </c>
      <c r="I266" s="126" t="s">
        <v>598</v>
      </c>
      <c r="J266" s="126" t="s">
        <v>888</v>
      </c>
      <c r="K266" s="128" t="s">
        <v>731</v>
      </c>
      <c r="L266" s="121" t="s">
        <v>515</v>
      </c>
      <c r="M266" s="143" t="s">
        <v>797</v>
      </c>
      <c r="N266" s="129">
        <v>42614</v>
      </c>
      <c r="O266" s="129">
        <v>43830</v>
      </c>
      <c r="P266" s="129">
        <v>44144</v>
      </c>
      <c r="Q266" s="144">
        <v>270000</v>
      </c>
      <c r="R266" s="150"/>
      <c r="S266" s="132">
        <v>57600</v>
      </c>
      <c r="T266" s="132">
        <v>0</v>
      </c>
      <c r="U266" s="132">
        <v>32400</v>
      </c>
      <c r="V266" s="132"/>
      <c r="W266" s="132">
        <v>0</v>
      </c>
      <c r="X266" s="132">
        <v>0</v>
      </c>
      <c r="Y266" s="111">
        <v>90000</v>
      </c>
      <c r="Z266" s="133">
        <f t="shared" si="49"/>
        <v>90000</v>
      </c>
      <c r="AA266" s="133">
        <f t="shared" si="45"/>
        <v>0</v>
      </c>
      <c r="AB266" s="141"/>
      <c r="AC266" s="132">
        <v>57600</v>
      </c>
      <c r="AD266" s="132">
        <v>0</v>
      </c>
      <c r="AE266" s="132">
        <v>32400</v>
      </c>
      <c r="AF266" s="132">
        <v>0</v>
      </c>
      <c r="AG266" s="132">
        <v>0</v>
      </c>
      <c r="AH266" s="132"/>
      <c r="AI266" s="111">
        <v>90000</v>
      </c>
      <c r="AJ266" s="134">
        <f t="shared" si="48"/>
        <v>90000</v>
      </c>
      <c r="AK266" s="134">
        <f t="shared" si="50"/>
        <v>0</v>
      </c>
      <c r="AL266" s="142"/>
      <c r="AM266" s="135">
        <v>57600</v>
      </c>
      <c r="AN266" s="135">
        <v>0</v>
      </c>
      <c r="AO266" s="135">
        <v>32400</v>
      </c>
      <c r="AP266" s="135"/>
      <c r="AQ266" s="135">
        <v>0</v>
      </c>
      <c r="AR266" s="135">
        <v>0</v>
      </c>
      <c r="AS266" s="116">
        <v>90000</v>
      </c>
      <c r="AT266" s="134">
        <f t="shared" si="54"/>
        <v>90000</v>
      </c>
      <c r="AU266" s="134">
        <f t="shared" si="51"/>
        <v>0</v>
      </c>
      <c r="AV266" s="142"/>
      <c r="AW266" s="135"/>
      <c r="AX266" s="135"/>
      <c r="AY266" s="135"/>
      <c r="AZ266" s="135"/>
      <c r="BA266" s="135"/>
      <c r="BB266" s="116"/>
      <c r="BC266" s="113"/>
      <c r="BD266" s="116"/>
      <c r="BE266" s="113"/>
      <c r="BF266" s="116"/>
      <c r="BG266" s="116"/>
      <c r="BH266" s="137">
        <f t="shared" si="52"/>
        <v>270000</v>
      </c>
      <c r="BI266" s="138">
        <f t="shared" si="53"/>
        <v>0</v>
      </c>
      <c r="BJ266" s="147"/>
      <c r="BK266" s="91"/>
    </row>
    <row r="267" spans="1:63" ht="15.75">
      <c r="A267" s="123">
        <v>507638</v>
      </c>
      <c r="B267" s="126">
        <v>211256</v>
      </c>
      <c r="C267" s="124" t="s">
        <v>1280</v>
      </c>
      <c r="D267" s="124" t="s">
        <v>1136</v>
      </c>
      <c r="E267" s="124" t="s">
        <v>1279</v>
      </c>
      <c r="F267" s="124" t="s">
        <v>250</v>
      </c>
      <c r="G267" s="127" t="s">
        <v>68</v>
      </c>
      <c r="H267" s="126" t="s">
        <v>628</v>
      </c>
      <c r="I267" s="126" t="s">
        <v>598</v>
      </c>
      <c r="J267" s="126" t="s">
        <v>888</v>
      </c>
      <c r="K267" s="128" t="s">
        <v>731</v>
      </c>
      <c r="L267" s="121" t="s">
        <v>519</v>
      </c>
      <c r="M267" s="123" t="s">
        <v>791</v>
      </c>
      <c r="N267" s="129">
        <v>43709</v>
      </c>
      <c r="O267" s="129">
        <v>44530</v>
      </c>
      <c r="P267" s="129">
        <v>44530</v>
      </c>
      <c r="Q267" s="130">
        <f>135000+132500</f>
        <v>267500</v>
      </c>
      <c r="R267" s="113"/>
      <c r="S267" s="132">
        <v>80000</v>
      </c>
      <c r="T267" s="132"/>
      <c r="U267" s="132">
        <v>39500</v>
      </c>
      <c r="V267" s="132"/>
      <c r="W267" s="132">
        <v>15500</v>
      </c>
      <c r="X267" s="132"/>
      <c r="Y267" s="111">
        <v>135000</v>
      </c>
      <c r="Z267" s="133">
        <f t="shared" si="49"/>
        <v>135000</v>
      </c>
      <c r="AA267" s="133">
        <f t="shared" si="45"/>
        <v>0</v>
      </c>
      <c r="AB267" s="141"/>
      <c r="AC267" s="132">
        <v>80000</v>
      </c>
      <c r="AD267" s="132"/>
      <c r="AE267" s="132">
        <v>39500</v>
      </c>
      <c r="AF267" s="132"/>
      <c r="AG267" s="132">
        <v>13000</v>
      </c>
      <c r="AH267" s="132"/>
      <c r="AI267" s="111">
        <v>132500</v>
      </c>
      <c r="AJ267" s="134">
        <f t="shared" si="48"/>
        <v>132500</v>
      </c>
      <c r="AK267" s="134">
        <f t="shared" si="50"/>
        <v>0</v>
      </c>
      <c r="AL267" s="142"/>
      <c r="AM267" s="132">
        <v>80000</v>
      </c>
      <c r="AN267" s="132"/>
      <c r="AO267" s="132">
        <v>39500</v>
      </c>
      <c r="AP267" s="132"/>
      <c r="AQ267" s="132">
        <v>13000</v>
      </c>
      <c r="AR267" s="132"/>
      <c r="AS267" s="116">
        <f>SUM(AM267:AR267)</f>
        <v>132500</v>
      </c>
      <c r="AT267" s="134">
        <f t="shared" si="54"/>
        <v>132500</v>
      </c>
      <c r="AU267" s="134">
        <f t="shared" si="51"/>
        <v>0</v>
      </c>
      <c r="AV267" s="142"/>
      <c r="AW267" s="135"/>
      <c r="AX267" s="135"/>
      <c r="AY267" s="135"/>
      <c r="AZ267" s="135"/>
      <c r="BA267" s="135"/>
      <c r="BB267" s="116"/>
      <c r="BC267" s="113"/>
      <c r="BD267" s="116"/>
      <c r="BE267" s="113"/>
      <c r="BF267" s="116"/>
      <c r="BG267" s="116"/>
      <c r="BH267" s="137">
        <f t="shared" si="52"/>
        <v>400000</v>
      </c>
      <c r="BI267" s="138">
        <f t="shared" si="53"/>
        <v>132500</v>
      </c>
      <c r="BJ267" s="126"/>
      <c r="BK267" s="91"/>
    </row>
    <row r="268" spans="1:63" ht="15.75">
      <c r="A268" s="123">
        <v>501339</v>
      </c>
      <c r="B268" s="126">
        <v>211320</v>
      </c>
      <c r="C268" s="124" t="s">
        <v>1283</v>
      </c>
      <c r="D268" s="124" t="s">
        <v>1136</v>
      </c>
      <c r="E268" s="125" t="s">
        <v>1281</v>
      </c>
      <c r="F268" s="124" t="s">
        <v>1282</v>
      </c>
      <c r="G268" s="127" t="s">
        <v>46</v>
      </c>
      <c r="H268" s="126" t="s">
        <v>597</v>
      </c>
      <c r="I268" s="126" t="s">
        <v>893</v>
      </c>
      <c r="J268" s="126" t="s">
        <v>894</v>
      </c>
      <c r="K268" s="128" t="s">
        <v>895</v>
      </c>
      <c r="L268" s="121" t="s">
        <v>515</v>
      </c>
      <c r="M268" s="123" t="s">
        <v>857</v>
      </c>
      <c r="N268" s="129">
        <v>42614</v>
      </c>
      <c r="O268" s="129">
        <v>43951</v>
      </c>
      <c r="P268" s="129">
        <v>44117</v>
      </c>
      <c r="Q268" s="130">
        <v>319660</v>
      </c>
      <c r="R268" s="113"/>
      <c r="S268" s="132">
        <v>90000</v>
      </c>
      <c r="T268" s="132">
        <v>5000</v>
      </c>
      <c r="U268" s="132">
        <v>10500</v>
      </c>
      <c r="V268" s="132"/>
      <c r="W268" s="132">
        <v>4000</v>
      </c>
      <c r="X268" s="132">
        <v>5000</v>
      </c>
      <c r="Y268" s="111">
        <v>114500</v>
      </c>
      <c r="Z268" s="133">
        <f t="shared" si="49"/>
        <v>114500</v>
      </c>
      <c r="AA268" s="133">
        <f t="shared" si="45"/>
        <v>0</v>
      </c>
      <c r="AB268" s="141"/>
      <c r="AC268" s="132">
        <v>90000</v>
      </c>
      <c r="AD268" s="132">
        <v>0</v>
      </c>
      <c r="AE268" s="132">
        <v>7160</v>
      </c>
      <c r="AF268" s="132">
        <v>4000</v>
      </c>
      <c r="AG268" s="132">
        <v>0</v>
      </c>
      <c r="AH268" s="132"/>
      <c r="AI268" s="111">
        <v>101160</v>
      </c>
      <c r="AJ268" s="134">
        <f t="shared" si="48"/>
        <v>101160</v>
      </c>
      <c r="AK268" s="134">
        <f t="shared" si="50"/>
        <v>0</v>
      </c>
      <c r="AL268" s="142"/>
      <c r="AM268" s="135">
        <v>85000</v>
      </c>
      <c r="AN268" s="135">
        <v>0</v>
      </c>
      <c r="AO268" s="135">
        <v>15000</v>
      </c>
      <c r="AP268" s="135"/>
      <c r="AQ268" s="135">
        <v>4000</v>
      </c>
      <c r="AR268" s="135">
        <v>0</v>
      </c>
      <c r="AS268" s="116">
        <v>104000</v>
      </c>
      <c r="AT268" s="134">
        <f t="shared" si="54"/>
        <v>104000</v>
      </c>
      <c r="AU268" s="134">
        <f t="shared" si="51"/>
        <v>0</v>
      </c>
      <c r="AV268" s="142"/>
      <c r="AW268" s="135"/>
      <c r="AX268" s="135"/>
      <c r="AY268" s="135"/>
      <c r="AZ268" s="135"/>
      <c r="BA268" s="135"/>
      <c r="BB268" s="116"/>
      <c r="BC268" s="113"/>
      <c r="BD268" s="116"/>
      <c r="BE268" s="113"/>
      <c r="BF268" s="116"/>
      <c r="BG268" s="116"/>
      <c r="BH268" s="137">
        <f t="shared" si="52"/>
        <v>319660</v>
      </c>
      <c r="BI268" s="138">
        <f t="shared" si="53"/>
        <v>0</v>
      </c>
      <c r="BJ268" s="126"/>
      <c r="BK268" s="91"/>
    </row>
    <row r="269" spans="1:63" ht="15.75">
      <c r="A269" s="123">
        <v>501334</v>
      </c>
      <c r="B269" s="126">
        <v>211377</v>
      </c>
      <c r="C269" s="148" t="s">
        <v>1285</v>
      </c>
      <c r="D269" s="148" t="s">
        <v>1143</v>
      </c>
      <c r="E269" s="125" t="s">
        <v>1284</v>
      </c>
      <c r="F269" s="124" t="s">
        <v>55</v>
      </c>
      <c r="G269" s="127" t="s">
        <v>53</v>
      </c>
      <c r="H269" s="149" t="s">
        <v>597</v>
      </c>
      <c r="I269" s="126" t="s">
        <v>598</v>
      </c>
      <c r="J269" s="126" t="s">
        <v>888</v>
      </c>
      <c r="K269" s="128" t="s">
        <v>731</v>
      </c>
      <c r="L269" s="121" t="s">
        <v>515</v>
      </c>
      <c r="M269" s="123" t="s">
        <v>840</v>
      </c>
      <c r="N269" s="129">
        <v>42614</v>
      </c>
      <c r="O269" s="129">
        <v>43708</v>
      </c>
      <c r="P269" s="129">
        <v>44144</v>
      </c>
      <c r="Q269" s="144">
        <v>810769</v>
      </c>
      <c r="R269" s="150"/>
      <c r="S269" s="132">
        <v>101750</v>
      </c>
      <c r="T269" s="132">
        <v>0</v>
      </c>
      <c r="U269" s="132">
        <v>121125</v>
      </c>
      <c r="V269" s="132"/>
      <c r="W269" s="132">
        <v>47381</v>
      </c>
      <c r="X269" s="132">
        <v>0</v>
      </c>
      <c r="Y269" s="111">
        <v>270256</v>
      </c>
      <c r="Z269" s="133">
        <f t="shared" si="49"/>
        <v>270256</v>
      </c>
      <c r="AA269" s="133">
        <f t="shared" si="45"/>
        <v>0</v>
      </c>
      <c r="AB269" s="141"/>
      <c r="AC269" s="132">
        <v>101750</v>
      </c>
      <c r="AD269" s="132">
        <v>0</v>
      </c>
      <c r="AE269" s="132">
        <v>121125</v>
      </c>
      <c r="AF269" s="132">
        <v>47381</v>
      </c>
      <c r="AG269" s="132">
        <v>0</v>
      </c>
      <c r="AH269" s="132"/>
      <c r="AI269" s="111">
        <v>270256</v>
      </c>
      <c r="AJ269" s="134">
        <f t="shared" si="48"/>
        <v>270256</v>
      </c>
      <c r="AK269" s="134">
        <f t="shared" si="50"/>
        <v>0</v>
      </c>
      <c r="AL269" s="142"/>
      <c r="AM269" s="135">
        <v>101750</v>
      </c>
      <c r="AN269" s="135">
        <v>0</v>
      </c>
      <c r="AO269" s="135">
        <v>121125</v>
      </c>
      <c r="AP269" s="135"/>
      <c r="AQ269" s="135">
        <v>47382</v>
      </c>
      <c r="AR269" s="135">
        <v>0</v>
      </c>
      <c r="AS269" s="116">
        <v>270257</v>
      </c>
      <c r="AT269" s="134">
        <f t="shared" si="54"/>
        <v>270257</v>
      </c>
      <c r="AU269" s="134">
        <f t="shared" si="51"/>
        <v>0</v>
      </c>
      <c r="AV269" s="142"/>
      <c r="AW269" s="135"/>
      <c r="AX269" s="135"/>
      <c r="AY269" s="135"/>
      <c r="AZ269" s="135"/>
      <c r="BA269" s="135"/>
      <c r="BB269" s="116"/>
      <c r="BC269" s="113"/>
      <c r="BD269" s="116"/>
      <c r="BE269" s="113"/>
      <c r="BF269" s="116"/>
      <c r="BG269" s="116"/>
      <c r="BH269" s="137">
        <f t="shared" si="52"/>
        <v>810769</v>
      </c>
      <c r="BI269" s="138">
        <f t="shared" si="53"/>
        <v>0</v>
      </c>
      <c r="BJ269" s="147"/>
      <c r="BK269" s="91"/>
    </row>
    <row r="270" spans="1:63" ht="15.75">
      <c r="A270" s="123">
        <v>501337</v>
      </c>
      <c r="B270" s="126">
        <v>211377</v>
      </c>
      <c r="C270" s="148" t="s">
        <v>1285</v>
      </c>
      <c r="D270" s="148" t="s">
        <v>1143</v>
      </c>
      <c r="E270" s="125" t="s">
        <v>1284</v>
      </c>
      <c r="F270" s="124" t="s">
        <v>55</v>
      </c>
      <c r="G270" s="127" t="s">
        <v>53</v>
      </c>
      <c r="H270" s="149" t="s">
        <v>628</v>
      </c>
      <c r="I270" s="126" t="s">
        <v>598</v>
      </c>
      <c r="J270" s="126" t="s">
        <v>888</v>
      </c>
      <c r="K270" s="128" t="s">
        <v>731</v>
      </c>
      <c r="L270" s="121" t="s">
        <v>515</v>
      </c>
      <c r="M270" s="123" t="s">
        <v>1003</v>
      </c>
      <c r="N270" s="129">
        <v>42614</v>
      </c>
      <c r="O270" s="129">
        <v>43708</v>
      </c>
      <c r="P270" s="129">
        <v>44144</v>
      </c>
      <c r="Q270" s="144">
        <v>60000</v>
      </c>
      <c r="R270" s="150"/>
      <c r="S270" s="132">
        <v>20000</v>
      </c>
      <c r="T270" s="132">
        <v>0</v>
      </c>
      <c r="U270" s="132">
        <v>0</v>
      </c>
      <c r="V270" s="132"/>
      <c r="W270" s="132">
        <v>0</v>
      </c>
      <c r="X270" s="132">
        <v>0</v>
      </c>
      <c r="Y270" s="111">
        <v>20000</v>
      </c>
      <c r="Z270" s="133">
        <f t="shared" si="49"/>
        <v>20000</v>
      </c>
      <c r="AA270" s="133">
        <f t="shared" si="45"/>
        <v>0</v>
      </c>
      <c r="AB270" s="141"/>
      <c r="AC270" s="132">
        <v>20000</v>
      </c>
      <c r="AD270" s="132">
        <v>0</v>
      </c>
      <c r="AE270" s="132">
        <v>0</v>
      </c>
      <c r="AF270" s="132">
        <v>0</v>
      </c>
      <c r="AG270" s="132">
        <v>0</v>
      </c>
      <c r="AH270" s="132"/>
      <c r="AI270" s="111">
        <v>20000</v>
      </c>
      <c r="AJ270" s="134">
        <f t="shared" si="48"/>
        <v>20000</v>
      </c>
      <c r="AK270" s="134">
        <f t="shared" si="50"/>
        <v>0</v>
      </c>
      <c r="AL270" s="142"/>
      <c r="AM270" s="135">
        <v>20000</v>
      </c>
      <c r="AN270" s="135">
        <v>0</v>
      </c>
      <c r="AO270" s="135">
        <v>0</v>
      </c>
      <c r="AP270" s="135"/>
      <c r="AQ270" s="135">
        <v>0</v>
      </c>
      <c r="AR270" s="135">
        <v>0</v>
      </c>
      <c r="AS270" s="116">
        <v>20000</v>
      </c>
      <c r="AT270" s="134">
        <f t="shared" si="54"/>
        <v>20000</v>
      </c>
      <c r="AU270" s="134">
        <f t="shared" si="51"/>
        <v>0</v>
      </c>
      <c r="AV270" s="142"/>
      <c r="AW270" s="135"/>
      <c r="AX270" s="135"/>
      <c r="AY270" s="135"/>
      <c r="AZ270" s="135"/>
      <c r="BA270" s="135"/>
      <c r="BB270" s="116"/>
      <c r="BC270" s="113"/>
      <c r="BD270" s="116"/>
      <c r="BE270" s="113"/>
      <c r="BF270" s="116"/>
      <c r="BG270" s="116"/>
      <c r="BH270" s="137">
        <f t="shared" si="52"/>
        <v>60000</v>
      </c>
      <c r="BI270" s="138">
        <f t="shared" si="53"/>
        <v>0</v>
      </c>
      <c r="BJ270" s="147"/>
      <c r="BK270" s="91"/>
    </row>
    <row r="271" spans="1:63" ht="15.75">
      <c r="A271" s="123">
        <v>507776</v>
      </c>
      <c r="B271" s="126">
        <v>211377</v>
      </c>
      <c r="C271" s="124" t="s">
        <v>1285</v>
      </c>
      <c r="D271" s="124" t="s">
        <v>1143</v>
      </c>
      <c r="E271" s="124" t="s">
        <v>1284</v>
      </c>
      <c r="F271" s="124" t="s">
        <v>55</v>
      </c>
      <c r="G271" s="127" t="s">
        <v>53</v>
      </c>
      <c r="H271" s="126" t="s">
        <v>597</v>
      </c>
      <c r="I271" s="126" t="s">
        <v>598</v>
      </c>
      <c r="J271" s="126" t="s">
        <v>888</v>
      </c>
      <c r="K271" s="128" t="s">
        <v>731</v>
      </c>
      <c r="L271" s="121" t="s">
        <v>519</v>
      </c>
      <c r="M271" s="123" t="s">
        <v>1080</v>
      </c>
      <c r="N271" s="129">
        <v>43709</v>
      </c>
      <c r="O271" s="129">
        <v>44530</v>
      </c>
      <c r="P271" s="129">
        <v>44530</v>
      </c>
      <c r="Q271" s="130">
        <f>19200+40800+60000</f>
        <v>120000</v>
      </c>
      <c r="R271" s="113"/>
      <c r="S271" s="132">
        <v>30000</v>
      </c>
      <c r="T271" s="132">
        <v>0</v>
      </c>
      <c r="U271" s="132">
        <v>20000</v>
      </c>
      <c r="V271" s="132">
        <v>0</v>
      </c>
      <c r="W271" s="132">
        <v>10000</v>
      </c>
      <c r="X271" s="132">
        <v>0</v>
      </c>
      <c r="Y271" s="111">
        <v>60000</v>
      </c>
      <c r="Z271" s="133">
        <f t="shared" si="49"/>
        <v>60000</v>
      </c>
      <c r="AA271" s="133">
        <f t="shared" si="45"/>
        <v>0</v>
      </c>
      <c r="AB271" s="141"/>
      <c r="AC271" s="132">
        <v>30000</v>
      </c>
      <c r="AD271" s="132">
        <v>0</v>
      </c>
      <c r="AE271" s="132">
        <v>20000</v>
      </c>
      <c r="AF271" s="132">
        <v>0</v>
      </c>
      <c r="AG271" s="132">
        <v>10000</v>
      </c>
      <c r="AH271" s="132">
        <v>0</v>
      </c>
      <c r="AI271" s="111">
        <v>60000</v>
      </c>
      <c r="AJ271" s="134">
        <f t="shared" si="48"/>
        <v>60000</v>
      </c>
      <c r="AK271" s="134">
        <f t="shared" si="50"/>
        <v>0</v>
      </c>
      <c r="AL271" s="142"/>
      <c r="AM271" s="132">
        <v>30000</v>
      </c>
      <c r="AN271" s="132">
        <v>0</v>
      </c>
      <c r="AO271" s="132">
        <v>20000</v>
      </c>
      <c r="AP271" s="132">
        <v>0</v>
      </c>
      <c r="AQ271" s="132">
        <v>10000</v>
      </c>
      <c r="AR271" s="132">
        <v>0</v>
      </c>
      <c r="AS271" s="116">
        <f>SUM(AM271:AR271)</f>
        <v>60000</v>
      </c>
      <c r="AT271" s="134">
        <f t="shared" si="54"/>
        <v>60000</v>
      </c>
      <c r="AU271" s="134">
        <f t="shared" si="51"/>
        <v>0</v>
      </c>
      <c r="AV271" s="142"/>
      <c r="AW271" s="135"/>
      <c r="AX271" s="135"/>
      <c r="AY271" s="135"/>
      <c r="AZ271" s="135"/>
      <c r="BA271" s="135"/>
      <c r="BB271" s="116"/>
      <c r="BC271" s="113"/>
      <c r="BD271" s="116"/>
      <c r="BE271" s="113"/>
      <c r="BF271" s="116"/>
      <c r="BG271" s="116"/>
      <c r="BH271" s="137">
        <f t="shared" si="52"/>
        <v>180000</v>
      </c>
      <c r="BI271" s="138">
        <f t="shared" si="53"/>
        <v>60000</v>
      </c>
      <c r="BJ271" s="126"/>
      <c r="BK271" s="91"/>
    </row>
    <row r="272" spans="1:63" ht="15.75">
      <c r="A272" s="123">
        <v>504344</v>
      </c>
      <c r="B272" s="126">
        <v>211456</v>
      </c>
      <c r="C272" s="124" t="s">
        <v>1289</v>
      </c>
      <c r="D272" s="124" t="s">
        <v>1290</v>
      </c>
      <c r="E272" s="125" t="s">
        <v>1287</v>
      </c>
      <c r="F272" s="124" t="s">
        <v>1288</v>
      </c>
      <c r="G272" s="127" t="s">
        <v>1277</v>
      </c>
      <c r="H272" s="126" t="s">
        <v>597</v>
      </c>
      <c r="I272" s="126" t="s">
        <v>598</v>
      </c>
      <c r="J272" s="126" t="s">
        <v>659</v>
      </c>
      <c r="K272" s="128" t="s">
        <v>660</v>
      </c>
      <c r="L272" s="121" t="s">
        <v>19</v>
      </c>
      <c r="M272" s="123" t="s">
        <v>1278</v>
      </c>
      <c r="N272" s="129">
        <v>43191</v>
      </c>
      <c r="O272" s="129">
        <v>43921</v>
      </c>
      <c r="P272" s="129">
        <v>43921</v>
      </c>
      <c r="Q272" s="130">
        <f>85062+85210</f>
        <v>170272</v>
      </c>
      <c r="R272" s="113"/>
      <c r="S272" s="132">
        <v>52481</v>
      </c>
      <c r="T272" s="132">
        <v>0</v>
      </c>
      <c r="U272" s="132">
        <v>32581</v>
      </c>
      <c r="V272" s="132">
        <v>0</v>
      </c>
      <c r="W272" s="132">
        <v>0</v>
      </c>
      <c r="X272" s="132">
        <v>0</v>
      </c>
      <c r="Y272" s="111">
        <f>SUM(R272:X272)</f>
        <v>85062</v>
      </c>
      <c r="Z272" s="133">
        <f t="shared" si="49"/>
        <v>85062</v>
      </c>
      <c r="AA272" s="133">
        <f t="shared" si="45"/>
        <v>0</v>
      </c>
      <c r="AB272" s="141"/>
      <c r="AC272" s="132">
        <v>50340</v>
      </c>
      <c r="AD272" s="132">
        <v>0</v>
      </c>
      <c r="AE272" s="132">
        <v>34870</v>
      </c>
      <c r="AF272" s="132">
        <v>0</v>
      </c>
      <c r="AG272" s="132">
        <v>0</v>
      </c>
      <c r="AH272" s="132"/>
      <c r="AI272" s="111">
        <v>85210</v>
      </c>
      <c r="AJ272" s="134">
        <f t="shared" si="48"/>
        <v>85210</v>
      </c>
      <c r="AK272" s="134">
        <f t="shared" si="50"/>
        <v>0</v>
      </c>
      <c r="AL272" s="145"/>
      <c r="AM272" s="132">
        <v>0</v>
      </c>
      <c r="AN272" s="132">
        <v>0</v>
      </c>
      <c r="AO272" s="132">
        <v>0</v>
      </c>
      <c r="AP272" s="132">
        <v>0</v>
      </c>
      <c r="AQ272" s="132">
        <v>0</v>
      </c>
      <c r="AR272" s="132">
        <v>0</v>
      </c>
      <c r="AS272" s="116">
        <v>0</v>
      </c>
      <c r="AT272" s="134">
        <f t="shared" si="54"/>
        <v>0</v>
      </c>
      <c r="AU272" s="134">
        <f t="shared" si="51"/>
        <v>0</v>
      </c>
      <c r="AV272" s="142"/>
      <c r="AW272" s="135"/>
      <c r="AX272" s="135"/>
      <c r="AY272" s="135"/>
      <c r="AZ272" s="135"/>
      <c r="BA272" s="135"/>
      <c r="BB272" s="116"/>
      <c r="BC272" s="113"/>
      <c r="BD272" s="116"/>
      <c r="BE272" s="113"/>
      <c r="BF272" s="116"/>
      <c r="BG272" s="116"/>
      <c r="BH272" s="137">
        <f t="shared" si="52"/>
        <v>170272</v>
      </c>
      <c r="BI272" s="138">
        <f t="shared" si="53"/>
        <v>0</v>
      </c>
      <c r="BJ272" s="126"/>
      <c r="BK272" s="91"/>
    </row>
    <row r="273" spans="1:63" ht="15.75">
      <c r="A273" s="123">
        <v>504337</v>
      </c>
      <c r="B273" s="126">
        <v>211478</v>
      </c>
      <c r="C273" s="148" t="s">
        <v>1293</v>
      </c>
      <c r="D273" s="148" t="s">
        <v>1294</v>
      </c>
      <c r="E273" s="125" t="s">
        <v>1291</v>
      </c>
      <c r="F273" s="124" t="s">
        <v>1292</v>
      </c>
      <c r="G273" s="127" t="s">
        <v>46</v>
      </c>
      <c r="H273" s="149" t="s">
        <v>628</v>
      </c>
      <c r="I273" s="126" t="s">
        <v>598</v>
      </c>
      <c r="J273" s="126" t="s">
        <v>645</v>
      </c>
      <c r="K273" s="128" t="s">
        <v>1295</v>
      </c>
      <c r="L273" s="121" t="s">
        <v>19</v>
      </c>
      <c r="M273" s="123" t="s">
        <v>832</v>
      </c>
      <c r="N273" s="129">
        <v>43191</v>
      </c>
      <c r="O273" s="129">
        <v>44104</v>
      </c>
      <c r="P273" s="129">
        <v>44149</v>
      </c>
      <c r="Q273" s="144">
        <f>24370+24370</f>
        <v>48740</v>
      </c>
      <c r="R273" s="150"/>
      <c r="S273" s="132">
        <v>14370</v>
      </c>
      <c r="T273" s="132"/>
      <c r="U273" s="132">
        <v>5000</v>
      </c>
      <c r="V273" s="132"/>
      <c r="W273" s="132">
        <v>5000</v>
      </c>
      <c r="X273" s="132">
        <v>0</v>
      </c>
      <c r="Y273" s="111">
        <f>SUM(R273:X273)</f>
        <v>24370</v>
      </c>
      <c r="Z273" s="133">
        <f t="shared" si="49"/>
        <v>24370</v>
      </c>
      <c r="AA273" s="133">
        <f t="shared" si="45"/>
        <v>0</v>
      </c>
      <c r="AB273" s="141"/>
      <c r="AC273" s="132">
        <v>14370</v>
      </c>
      <c r="AD273" s="132">
        <v>0</v>
      </c>
      <c r="AE273" s="132">
        <v>5000</v>
      </c>
      <c r="AF273" s="132">
        <v>0</v>
      </c>
      <c r="AG273" s="132">
        <v>5000</v>
      </c>
      <c r="AH273" s="132"/>
      <c r="AI273" s="111">
        <v>24370</v>
      </c>
      <c r="AJ273" s="134">
        <f t="shared" si="48"/>
        <v>24370</v>
      </c>
      <c r="AK273" s="134">
        <f t="shared" si="50"/>
        <v>0</v>
      </c>
      <c r="AL273" s="145"/>
      <c r="AM273" s="132">
        <v>0</v>
      </c>
      <c r="AN273" s="132">
        <v>0</v>
      </c>
      <c r="AO273" s="132">
        <v>0</v>
      </c>
      <c r="AP273" s="132">
        <v>0</v>
      </c>
      <c r="AQ273" s="132">
        <v>0</v>
      </c>
      <c r="AR273" s="132">
        <v>0</v>
      </c>
      <c r="AS273" s="116">
        <v>0</v>
      </c>
      <c r="AT273" s="134">
        <f t="shared" si="54"/>
        <v>0</v>
      </c>
      <c r="AU273" s="134">
        <f t="shared" si="51"/>
        <v>0</v>
      </c>
      <c r="AV273" s="135"/>
      <c r="AW273" s="135"/>
      <c r="AX273" s="135"/>
      <c r="AY273" s="135"/>
      <c r="AZ273" s="135"/>
      <c r="BA273" s="135"/>
      <c r="BB273" s="116"/>
      <c r="BC273" s="113"/>
      <c r="BD273" s="116"/>
      <c r="BE273" s="113"/>
      <c r="BF273" s="116"/>
      <c r="BG273" s="116"/>
      <c r="BH273" s="137">
        <f t="shared" si="52"/>
        <v>48740</v>
      </c>
      <c r="BI273" s="138">
        <f t="shared" si="53"/>
        <v>0</v>
      </c>
      <c r="BJ273" s="126"/>
      <c r="BK273" s="91"/>
    </row>
    <row r="274" spans="1:63" ht="15.75">
      <c r="A274" s="123">
        <v>501339</v>
      </c>
      <c r="B274" s="126">
        <v>211534</v>
      </c>
      <c r="C274" s="124" t="s">
        <v>1298</v>
      </c>
      <c r="D274" s="124" t="s">
        <v>1143</v>
      </c>
      <c r="E274" s="125" t="s">
        <v>1296</v>
      </c>
      <c r="F274" s="124" t="s">
        <v>1297</v>
      </c>
      <c r="G274" s="127" t="s">
        <v>68</v>
      </c>
      <c r="H274" s="126" t="s">
        <v>628</v>
      </c>
      <c r="I274" s="126" t="s">
        <v>598</v>
      </c>
      <c r="J274" s="126" t="s">
        <v>599</v>
      </c>
      <c r="K274" s="128" t="s">
        <v>600</v>
      </c>
      <c r="L274" s="121" t="s">
        <v>515</v>
      </c>
      <c r="M274" s="123" t="s">
        <v>857</v>
      </c>
      <c r="N274" s="129">
        <v>42614</v>
      </c>
      <c r="O274" s="129">
        <v>43951</v>
      </c>
      <c r="P274" s="129">
        <v>44117</v>
      </c>
      <c r="Q274" s="130">
        <v>328431</v>
      </c>
      <c r="R274" s="113"/>
      <c r="S274" s="132">
        <v>69000</v>
      </c>
      <c r="T274" s="132">
        <v>4500</v>
      </c>
      <c r="U274" s="132">
        <v>0</v>
      </c>
      <c r="V274" s="132"/>
      <c r="W274" s="132">
        <v>7477</v>
      </c>
      <c r="X274" s="132">
        <v>0</v>
      </c>
      <c r="Y274" s="111">
        <v>80977</v>
      </c>
      <c r="Z274" s="133">
        <f t="shared" si="49"/>
        <v>80977</v>
      </c>
      <c r="AA274" s="133">
        <f t="shared" si="45"/>
        <v>0</v>
      </c>
      <c r="AB274" s="141"/>
      <c r="AC274" s="132">
        <v>90000</v>
      </c>
      <c r="AD274" s="132">
        <v>4500</v>
      </c>
      <c r="AE274" s="132">
        <v>0</v>
      </c>
      <c r="AF274" s="132">
        <v>31477</v>
      </c>
      <c r="AG274" s="132">
        <v>0</v>
      </c>
      <c r="AH274" s="132"/>
      <c r="AI274" s="111">
        <v>125977</v>
      </c>
      <c r="AJ274" s="134">
        <f t="shared" si="48"/>
        <v>125977</v>
      </c>
      <c r="AK274" s="134">
        <f t="shared" si="50"/>
        <v>0</v>
      </c>
      <c r="AL274" s="142"/>
      <c r="AM274" s="135">
        <v>90000</v>
      </c>
      <c r="AN274" s="135">
        <v>0</v>
      </c>
      <c r="AO274" s="135">
        <v>0</v>
      </c>
      <c r="AP274" s="135"/>
      <c r="AQ274" s="135">
        <v>31477</v>
      </c>
      <c r="AR274" s="135">
        <v>0</v>
      </c>
      <c r="AS274" s="116">
        <v>121477</v>
      </c>
      <c r="AT274" s="134">
        <f t="shared" si="54"/>
        <v>121477</v>
      </c>
      <c r="AU274" s="134">
        <f t="shared" si="51"/>
        <v>0</v>
      </c>
      <c r="AV274" s="142"/>
      <c r="AW274" s="135"/>
      <c r="AX274" s="135"/>
      <c r="AY274" s="135"/>
      <c r="AZ274" s="135"/>
      <c r="BA274" s="135"/>
      <c r="BB274" s="116"/>
      <c r="BC274" s="113"/>
      <c r="BD274" s="116"/>
      <c r="BE274" s="113"/>
      <c r="BF274" s="116"/>
      <c r="BG274" s="116"/>
      <c r="BH274" s="137">
        <f t="shared" si="52"/>
        <v>328431</v>
      </c>
      <c r="BI274" s="138">
        <f t="shared" si="53"/>
        <v>0</v>
      </c>
      <c r="BJ274" s="126"/>
      <c r="BK274" s="91"/>
    </row>
    <row r="275" spans="1:63" ht="15.75">
      <c r="A275" s="123">
        <v>501348</v>
      </c>
      <c r="B275" s="126">
        <v>211534</v>
      </c>
      <c r="C275" s="124" t="s">
        <v>1298</v>
      </c>
      <c r="D275" s="124" t="s">
        <v>1143</v>
      </c>
      <c r="E275" s="125" t="s">
        <v>1296</v>
      </c>
      <c r="F275" s="124" t="s">
        <v>1297</v>
      </c>
      <c r="G275" s="127" t="s">
        <v>68</v>
      </c>
      <c r="H275" s="126" t="s">
        <v>628</v>
      </c>
      <c r="I275" s="126" t="s">
        <v>598</v>
      </c>
      <c r="J275" s="126" t="s">
        <v>599</v>
      </c>
      <c r="K275" s="128" t="s">
        <v>600</v>
      </c>
      <c r="L275" s="121" t="s">
        <v>515</v>
      </c>
      <c r="M275" s="123" t="s">
        <v>934</v>
      </c>
      <c r="N275" s="129">
        <v>42614</v>
      </c>
      <c r="O275" s="129">
        <v>44286</v>
      </c>
      <c r="P275" s="129">
        <v>44286</v>
      </c>
      <c r="Q275" s="130">
        <v>75000</v>
      </c>
      <c r="R275" s="113"/>
      <c r="S275" s="132">
        <v>25000</v>
      </c>
      <c r="T275" s="132">
        <v>0</v>
      </c>
      <c r="U275" s="132">
        <v>0</v>
      </c>
      <c r="V275" s="132"/>
      <c r="W275" s="132">
        <v>0</v>
      </c>
      <c r="X275" s="132">
        <v>0</v>
      </c>
      <c r="Y275" s="111">
        <v>25000</v>
      </c>
      <c r="Z275" s="133">
        <f t="shared" si="49"/>
        <v>25000</v>
      </c>
      <c r="AA275" s="133">
        <f t="shared" si="45"/>
        <v>0</v>
      </c>
      <c r="AB275" s="141"/>
      <c r="AC275" s="132">
        <v>25000</v>
      </c>
      <c r="AD275" s="132">
        <v>0</v>
      </c>
      <c r="AE275" s="132">
        <v>0</v>
      </c>
      <c r="AF275" s="132">
        <v>0</v>
      </c>
      <c r="AG275" s="132">
        <v>0</v>
      </c>
      <c r="AH275" s="132"/>
      <c r="AI275" s="111">
        <v>25000</v>
      </c>
      <c r="AJ275" s="134">
        <f t="shared" ref="AJ275:AJ306" si="55">SUM(AB275:AH275)</f>
        <v>25000</v>
      </c>
      <c r="AK275" s="134">
        <f t="shared" si="50"/>
        <v>0</v>
      </c>
      <c r="AL275" s="142"/>
      <c r="AM275" s="135">
        <v>25000</v>
      </c>
      <c r="AN275" s="135">
        <v>0</v>
      </c>
      <c r="AO275" s="135">
        <v>0</v>
      </c>
      <c r="AP275" s="135"/>
      <c r="AQ275" s="135">
        <v>0</v>
      </c>
      <c r="AR275" s="135">
        <v>0</v>
      </c>
      <c r="AS275" s="116">
        <v>25000</v>
      </c>
      <c r="AT275" s="134">
        <f t="shared" si="54"/>
        <v>25000</v>
      </c>
      <c r="AU275" s="134">
        <f t="shared" si="51"/>
        <v>0</v>
      </c>
      <c r="AV275" s="142"/>
      <c r="AW275" s="135"/>
      <c r="AX275" s="135"/>
      <c r="AY275" s="135"/>
      <c r="AZ275" s="135"/>
      <c r="BA275" s="135"/>
      <c r="BB275" s="116"/>
      <c r="BC275" s="113"/>
      <c r="BD275" s="116"/>
      <c r="BE275" s="113"/>
      <c r="BF275" s="116"/>
      <c r="BG275" s="116"/>
      <c r="BH275" s="137">
        <f t="shared" si="52"/>
        <v>75000</v>
      </c>
      <c r="BI275" s="138">
        <f t="shared" si="53"/>
        <v>0</v>
      </c>
      <c r="BJ275" s="126"/>
      <c r="BK275" s="91"/>
    </row>
    <row r="276" spans="1:63" ht="15.75">
      <c r="A276" s="123">
        <v>502314</v>
      </c>
      <c r="B276" s="126">
        <v>211534</v>
      </c>
      <c r="C276" s="124" t="s">
        <v>1298</v>
      </c>
      <c r="D276" s="124" t="s">
        <v>1143</v>
      </c>
      <c r="E276" s="125" t="s">
        <v>1296</v>
      </c>
      <c r="F276" s="124" t="s">
        <v>1297</v>
      </c>
      <c r="G276" s="127" t="s">
        <v>68</v>
      </c>
      <c r="H276" s="126" t="s">
        <v>597</v>
      </c>
      <c r="I276" s="126" t="s">
        <v>598</v>
      </c>
      <c r="J276" s="126" t="s">
        <v>599</v>
      </c>
      <c r="K276" s="128" t="s">
        <v>600</v>
      </c>
      <c r="L276" s="121" t="s">
        <v>652</v>
      </c>
      <c r="M276" s="123" t="s">
        <v>748</v>
      </c>
      <c r="N276" s="129">
        <v>42826</v>
      </c>
      <c r="O276" s="129">
        <v>43373</v>
      </c>
      <c r="P276" s="129">
        <v>43373</v>
      </c>
      <c r="Q276" s="130">
        <v>55000</v>
      </c>
      <c r="R276" s="113"/>
      <c r="S276" s="132">
        <v>55000</v>
      </c>
      <c r="T276" s="132">
        <v>0</v>
      </c>
      <c r="U276" s="132">
        <v>0</v>
      </c>
      <c r="V276" s="132"/>
      <c r="W276" s="132">
        <v>0</v>
      </c>
      <c r="X276" s="132">
        <v>0</v>
      </c>
      <c r="Y276" s="111">
        <v>55000</v>
      </c>
      <c r="Z276" s="133">
        <f t="shared" si="49"/>
        <v>55000</v>
      </c>
      <c r="AA276" s="133">
        <f t="shared" si="45"/>
        <v>0</v>
      </c>
      <c r="AB276" s="141"/>
      <c r="AC276" s="132" t="s">
        <v>602</v>
      </c>
      <c r="AD276" s="132" t="s">
        <v>602</v>
      </c>
      <c r="AE276" s="132" t="s">
        <v>602</v>
      </c>
      <c r="AF276" s="132" t="s">
        <v>602</v>
      </c>
      <c r="AG276" s="132" t="s">
        <v>602</v>
      </c>
      <c r="AH276" s="132"/>
      <c r="AI276" s="111">
        <v>0</v>
      </c>
      <c r="AJ276" s="134">
        <f t="shared" si="55"/>
        <v>0</v>
      </c>
      <c r="AK276" s="134">
        <f t="shared" si="50"/>
        <v>0</v>
      </c>
      <c r="AL276" s="142"/>
      <c r="AM276" s="132">
        <v>0</v>
      </c>
      <c r="AN276" s="132">
        <v>0</v>
      </c>
      <c r="AO276" s="132">
        <v>0</v>
      </c>
      <c r="AP276" s="132">
        <v>0</v>
      </c>
      <c r="AQ276" s="132">
        <v>0</v>
      </c>
      <c r="AR276" s="132">
        <v>0</v>
      </c>
      <c r="AS276" s="116">
        <v>0</v>
      </c>
      <c r="AT276" s="134">
        <f t="shared" si="54"/>
        <v>0</v>
      </c>
      <c r="AU276" s="134">
        <f t="shared" si="51"/>
        <v>0</v>
      </c>
      <c r="AV276" s="142"/>
      <c r="AW276" s="135"/>
      <c r="AX276" s="135"/>
      <c r="AY276" s="135"/>
      <c r="AZ276" s="135"/>
      <c r="BA276" s="135"/>
      <c r="BB276" s="116"/>
      <c r="BC276" s="113"/>
      <c r="BD276" s="116"/>
      <c r="BE276" s="113"/>
      <c r="BF276" s="116"/>
      <c r="BG276" s="116"/>
      <c r="BH276" s="137">
        <f t="shared" si="52"/>
        <v>55000</v>
      </c>
      <c r="BI276" s="138">
        <f t="shared" si="53"/>
        <v>0</v>
      </c>
      <c r="BJ276" s="124" t="s">
        <v>749</v>
      </c>
      <c r="BK276" s="91"/>
    </row>
    <row r="277" spans="1:63" ht="15.75">
      <c r="A277" s="123">
        <v>502577</v>
      </c>
      <c r="B277" s="126">
        <v>211534</v>
      </c>
      <c r="C277" s="124" t="s">
        <v>1298</v>
      </c>
      <c r="D277" s="124" t="s">
        <v>1143</v>
      </c>
      <c r="E277" s="125" t="s">
        <v>1296</v>
      </c>
      <c r="F277" s="124" t="s">
        <v>1297</v>
      </c>
      <c r="G277" s="127" t="s">
        <v>68</v>
      </c>
      <c r="H277" s="126" t="s">
        <v>597</v>
      </c>
      <c r="I277" s="126" t="s">
        <v>598</v>
      </c>
      <c r="J277" s="126" t="s">
        <v>599</v>
      </c>
      <c r="K277" s="128" t="s">
        <v>600</v>
      </c>
      <c r="L277" s="121" t="s">
        <v>19</v>
      </c>
      <c r="M277" s="123" t="s">
        <v>970</v>
      </c>
      <c r="N277" s="129">
        <v>42826</v>
      </c>
      <c r="O277" s="129">
        <v>43555</v>
      </c>
      <c r="P277" s="129">
        <v>43738</v>
      </c>
      <c r="Q277" s="130">
        <v>90000</v>
      </c>
      <c r="R277" s="113"/>
      <c r="S277" s="132">
        <v>30000</v>
      </c>
      <c r="T277" s="132">
        <v>0</v>
      </c>
      <c r="U277" s="132">
        <v>0</v>
      </c>
      <c r="V277" s="132">
        <v>0</v>
      </c>
      <c r="W277" s="132">
        <v>20000</v>
      </c>
      <c r="X277" s="132">
        <v>0</v>
      </c>
      <c r="Y277" s="111">
        <v>50000</v>
      </c>
      <c r="Z277" s="133">
        <f t="shared" si="49"/>
        <v>50000</v>
      </c>
      <c r="AA277" s="133">
        <f t="shared" si="45"/>
        <v>0</v>
      </c>
      <c r="AB277" s="141"/>
      <c r="AC277" s="132">
        <v>20000</v>
      </c>
      <c r="AD277" s="132">
        <v>0</v>
      </c>
      <c r="AE277" s="132">
        <v>0</v>
      </c>
      <c r="AF277" s="132"/>
      <c r="AG277" s="132">
        <v>20000</v>
      </c>
      <c r="AH277" s="132"/>
      <c r="AI277" s="111">
        <v>40000</v>
      </c>
      <c r="AJ277" s="134">
        <f t="shared" si="55"/>
        <v>40000</v>
      </c>
      <c r="AK277" s="134">
        <f t="shared" si="50"/>
        <v>0</v>
      </c>
      <c r="AL277" s="145"/>
      <c r="AM277" s="132">
        <v>0</v>
      </c>
      <c r="AN277" s="132">
        <v>0</v>
      </c>
      <c r="AO277" s="132">
        <v>0</v>
      </c>
      <c r="AP277" s="132">
        <v>0</v>
      </c>
      <c r="AQ277" s="132">
        <v>0</v>
      </c>
      <c r="AR277" s="132">
        <v>0</v>
      </c>
      <c r="AS277" s="116">
        <v>0</v>
      </c>
      <c r="AT277" s="134">
        <f t="shared" si="54"/>
        <v>0</v>
      </c>
      <c r="AU277" s="134">
        <f t="shared" si="51"/>
        <v>0</v>
      </c>
      <c r="AV277" s="142"/>
      <c r="AW277" s="135"/>
      <c r="AX277" s="135"/>
      <c r="AY277" s="135"/>
      <c r="AZ277" s="135"/>
      <c r="BA277" s="135"/>
      <c r="BB277" s="116"/>
      <c r="BC277" s="113"/>
      <c r="BD277" s="116"/>
      <c r="BE277" s="113"/>
      <c r="BF277" s="116"/>
      <c r="BG277" s="116"/>
      <c r="BH277" s="137">
        <f t="shared" si="52"/>
        <v>90000</v>
      </c>
      <c r="BI277" s="138">
        <f t="shared" si="53"/>
        <v>0</v>
      </c>
      <c r="BJ277" s="126"/>
      <c r="BK277" s="91"/>
    </row>
    <row r="278" spans="1:63" ht="15.75">
      <c r="A278" s="184">
        <v>509882</v>
      </c>
      <c r="B278" s="126">
        <v>211534</v>
      </c>
      <c r="C278" s="148" t="s">
        <v>1298</v>
      </c>
      <c r="D278" s="148" t="s">
        <v>1143</v>
      </c>
      <c r="E278" s="125" t="s">
        <v>1296</v>
      </c>
      <c r="F278" s="124" t="s">
        <v>1297</v>
      </c>
      <c r="G278" s="127" t="s">
        <v>68</v>
      </c>
      <c r="H278" s="149" t="s">
        <v>597</v>
      </c>
      <c r="I278" s="126" t="s">
        <v>598</v>
      </c>
      <c r="J278" s="126" t="s">
        <v>599</v>
      </c>
      <c r="K278" s="128" t="s">
        <v>600</v>
      </c>
      <c r="L278" s="121" t="s">
        <v>19</v>
      </c>
      <c r="M278" s="123" t="s">
        <v>889</v>
      </c>
      <c r="N278" s="129">
        <v>44044</v>
      </c>
      <c r="O278" s="129">
        <v>44592</v>
      </c>
      <c r="P278" s="129">
        <v>44592</v>
      </c>
      <c r="Q278" s="130">
        <v>39365</v>
      </c>
      <c r="R278" s="113"/>
      <c r="S278" s="132">
        <v>24000</v>
      </c>
      <c r="T278" s="132"/>
      <c r="U278" s="132">
        <v>15365</v>
      </c>
      <c r="V278" s="132"/>
      <c r="W278" s="132"/>
      <c r="X278" s="132"/>
      <c r="Y278" s="111">
        <v>39365</v>
      </c>
      <c r="Z278" s="133">
        <f>SUM(S278:X278)</f>
        <v>39365</v>
      </c>
      <c r="AA278" s="133">
        <f>Y278-Z278</f>
        <v>0</v>
      </c>
      <c r="AB278" s="141"/>
      <c r="AC278" s="132"/>
      <c r="AD278" s="132"/>
      <c r="AE278" s="132"/>
      <c r="AF278" s="132"/>
      <c r="AG278" s="132"/>
      <c r="AH278" s="132"/>
      <c r="AI278" s="111">
        <v>0</v>
      </c>
      <c r="AJ278" s="134">
        <f t="shared" si="55"/>
        <v>0</v>
      </c>
      <c r="AK278" s="134">
        <f t="shared" si="50"/>
        <v>0</v>
      </c>
      <c r="AL278" s="142"/>
      <c r="AM278" s="132"/>
      <c r="AN278" s="132"/>
      <c r="AO278" s="132"/>
      <c r="AP278" s="132"/>
      <c r="AQ278" s="132"/>
      <c r="AR278" s="132"/>
      <c r="AS278" s="116">
        <v>0</v>
      </c>
      <c r="AT278" s="134">
        <f t="shared" si="54"/>
        <v>0</v>
      </c>
      <c r="AU278" s="134">
        <f t="shared" si="51"/>
        <v>0</v>
      </c>
      <c r="AV278" s="142"/>
      <c r="AW278" s="135"/>
      <c r="AX278" s="135"/>
      <c r="AY278" s="135"/>
      <c r="AZ278" s="135"/>
      <c r="BA278" s="135"/>
      <c r="BB278" s="116"/>
      <c r="BC278" s="113"/>
      <c r="BD278" s="116"/>
      <c r="BE278" s="113"/>
      <c r="BF278" s="116"/>
      <c r="BG278" s="116"/>
      <c r="BH278" s="137">
        <f t="shared" si="52"/>
        <v>39365</v>
      </c>
      <c r="BI278" s="138">
        <f t="shared" si="53"/>
        <v>0</v>
      </c>
      <c r="BJ278" s="126"/>
      <c r="BK278" s="91"/>
    </row>
    <row r="279" spans="1:63" ht="15.75">
      <c r="A279" s="143">
        <v>503281</v>
      </c>
      <c r="B279" s="126">
        <v>211789</v>
      </c>
      <c r="C279" s="121" t="s">
        <v>1301</v>
      </c>
      <c r="D279" s="121" t="s">
        <v>1302</v>
      </c>
      <c r="E279" s="125" t="s">
        <v>1299</v>
      </c>
      <c r="F279" s="124" t="s">
        <v>1300</v>
      </c>
      <c r="G279" s="127" t="s">
        <v>75</v>
      </c>
      <c r="H279" s="126" t="s">
        <v>597</v>
      </c>
      <c r="I279" s="126" t="s">
        <v>598</v>
      </c>
      <c r="J279" s="126" t="s">
        <v>635</v>
      </c>
      <c r="K279" s="128" t="s">
        <v>911</v>
      </c>
      <c r="L279" s="121" t="s">
        <v>19</v>
      </c>
      <c r="M279" s="126" t="s">
        <v>1303</v>
      </c>
      <c r="N279" s="129">
        <v>42917</v>
      </c>
      <c r="O279" s="129">
        <v>43373</v>
      </c>
      <c r="P279" s="129">
        <v>43190</v>
      </c>
      <c r="Q279" s="144">
        <v>50000</v>
      </c>
      <c r="R279" s="150"/>
      <c r="S279" s="132">
        <v>30500</v>
      </c>
      <c r="T279" s="132">
        <v>0</v>
      </c>
      <c r="U279" s="132">
        <v>15000</v>
      </c>
      <c r="V279" s="132">
        <v>0</v>
      </c>
      <c r="W279" s="132">
        <v>4500</v>
      </c>
      <c r="X279" s="132">
        <v>0</v>
      </c>
      <c r="Y279" s="111">
        <v>50000</v>
      </c>
      <c r="Z279" s="133">
        <f t="shared" ref="Z279:Z310" si="56">SUM(R279:X279)</f>
        <v>50000</v>
      </c>
      <c r="AA279" s="133">
        <f t="shared" ref="AA279:AA318" si="57">Z279-Y279</f>
        <v>0</v>
      </c>
      <c r="AB279" s="141"/>
      <c r="AC279" s="132" t="s">
        <v>602</v>
      </c>
      <c r="AD279" s="132" t="s">
        <v>602</v>
      </c>
      <c r="AE279" s="132" t="s">
        <v>602</v>
      </c>
      <c r="AF279" s="132" t="s">
        <v>602</v>
      </c>
      <c r="AG279" s="132" t="s">
        <v>602</v>
      </c>
      <c r="AH279" s="132"/>
      <c r="AI279" s="111">
        <v>0</v>
      </c>
      <c r="AJ279" s="134">
        <f t="shared" si="55"/>
        <v>0</v>
      </c>
      <c r="AK279" s="134">
        <f t="shared" si="50"/>
        <v>0</v>
      </c>
      <c r="AL279" s="145"/>
      <c r="AM279" s="132">
        <v>0</v>
      </c>
      <c r="AN279" s="132">
        <v>0</v>
      </c>
      <c r="AO279" s="132">
        <v>0</v>
      </c>
      <c r="AP279" s="132">
        <v>0</v>
      </c>
      <c r="AQ279" s="132">
        <v>0</v>
      </c>
      <c r="AR279" s="132">
        <v>0</v>
      </c>
      <c r="AS279" s="116">
        <v>0</v>
      </c>
      <c r="AT279" s="134">
        <f t="shared" si="54"/>
        <v>0</v>
      </c>
      <c r="AU279" s="134">
        <f t="shared" si="51"/>
        <v>0</v>
      </c>
      <c r="AV279" s="142"/>
      <c r="AW279" s="135"/>
      <c r="AX279" s="135"/>
      <c r="AY279" s="135"/>
      <c r="AZ279" s="135"/>
      <c r="BA279" s="135"/>
      <c r="BB279" s="116"/>
      <c r="BC279" s="113"/>
      <c r="BD279" s="116"/>
      <c r="BE279" s="113"/>
      <c r="BF279" s="116"/>
      <c r="BG279" s="116"/>
      <c r="BH279" s="137">
        <f t="shared" si="52"/>
        <v>50000</v>
      </c>
      <c r="BI279" s="138">
        <f t="shared" si="53"/>
        <v>0</v>
      </c>
      <c r="BJ279" s="147" t="s">
        <v>1304</v>
      </c>
      <c r="BK279" s="91"/>
    </row>
    <row r="280" spans="1:63" ht="15.75">
      <c r="A280" s="123">
        <v>500120</v>
      </c>
      <c r="B280" s="126">
        <v>211800</v>
      </c>
      <c r="C280" s="121" t="s">
        <v>1307</v>
      </c>
      <c r="D280" s="121" t="s">
        <v>1308</v>
      </c>
      <c r="E280" s="125" t="s">
        <v>1305</v>
      </c>
      <c r="F280" s="124" t="s">
        <v>1306</v>
      </c>
      <c r="G280" s="127" t="s">
        <v>46</v>
      </c>
      <c r="H280" s="123" t="s">
        <v>597</v>
      </c>
      <c r="I280" s="126" t="s">
        <v>609</v>
      </c>
      <c r="J280" s="126" t="s">
        <v>610</v>
      </c>
      <c r="K280" s="128" t="s">
        <v>819</v>
      </c>
      <c r="L280" s="121" t="s">
        <v>652</v>
      </c>
      <c r="M280" s="123" t="s">
        <v>638</v>
      </c>
      <c r="N280" s="129">
        <v>42339</v>
      </c>
      <c r="O280" s="129">
        <v>42551</v>
      </c>
      <c r="P280" s="129">
        <v>42668</v>
      </c>
      <c r="Q280" s="144">
        <v>25000</v>
      </c>
      <c r="R280" s="132">
        <v>25000</v>
      </c>
      <c r="S280" s="132">
        <v>0</v>
      </c>
      <c r="T280" s="132">
        <v>0</v>
      </c>
      <c r="U280" s="132">
        <v>0</v>
      </c>
      <c r="V280" s="132"/>
      <c r="W280" s="132">
        <v>0</v>
      </c>
      <c r="X280" s="132">
        <v>0</v>
      </c>
      <c r="Y280" s="111">
        <v>25000</v>
      </c>
      <c r="Z280" s="133">
        <f t="shared" si="56"/>
        <v>25000</v>
      </c>
      <c r="AA280" s="133">
        <f t="shared" si="57"/>
        <v>0</v>
      </c>
      <c r="AB280" s="141"/>
      <c r="AC280" s="132" t="s">
        <v>602</v>
      </c>
      <c r="AD280" s="132" t="s">
        <v>602</v>
      </c>
      <c r="AE280" s="132" t="s">
        <v>602</v>
      </c>
      <c r="AF280" s="132" t="s">
        <v>602</v>
      </c>
      <c r="AG280" s="132" t="s">
        <v>602</v>
      </c>
      <c r="AH280" s="132"/>
      <c r="AI280" s="111">
        <v>0</v>
      </c>
      <c r="AJ280" s="134">
        <f t="shared" si="55"/>
        <v>0</v>
      </c>
      <c r="AK280" s="134">
        <f t="shared" si="50"/>
        <v>0</v>
      </c>
      <c r="AL280" s="142"/>
      <c r="AM280" s="132">
        <v>0</v>
      </c>
      <c r="AN280" s="132">
        <v>0</v>
      </c>
      <c r="AO280" s="132">
        <v>0</v>
      </c>
      <c r="AP280" s="132">
        <v>0</v>
      </c>
      <c r="AQ280" s="132">
        <v>0</v>
      </c>
      <c r="AR280" s="132">
        <v>0</v>
      </c>
      <c r="AS280" s="116">
        <v>0</v>
      </c>
      <c r="AT280" s="134">
        <f t="shared" si="54"/>
        <v>0</v>
      </c>
      <c r="AU280" s="134">
        <f t="shared" si="51"/>
        <v>0</v>
      </c>
      <c r="AV280" s="142"/>
      <c r="AW280" s="135"/>
      <c r="AX280" s="135"/>
      <c r="AY280" s="135"/>
      <c r="AZ280" s="135"/>
      <c r="BA280" s="135"/>
      <c r="BB280" s="116"/>
      <c r="BC280" s="113"/>
      <c r="BD280" s="116"/>
      <c r="BE280" s="113"/>
      <c r="BF280" s="116"/>
      <c r="BG280" s="116"/>
      <c r="BH280" s="137">
        <f t="shared" si="52"/>
        <v>25000</v>
      </c>
      <c r="BI280" s="138">
        <f t="shared" si="53"/>
        <v>0</v>
      </c>
      <c r="BJ280" s="126" t="s">
        <v>766</v>
      </c>
      <c r="BK280" s="91"/>
    </row>
    <row r="281" spans="1:63" ht="15.75">
      <c r="A281" s="123">
        <v>501339</v>
      </c>
      <c r="B281" s="126">
        <v>211894</v>
      </c>
      <c r="C281" s="124" t="s">
        <v>1311</v>
      </c>
      <c r="D281" s="124" t="s">
        <v>1312</v>
      </c>
      <c r="E281" s="125" t="s">
        <v>1309</v>
      </c>
      <c r="F281" s="124" t="s">
        <v>1310</v>
      </c>
      <c r="G281" s="127" t="s">
        <v>46</v>
      </c>
      <c r="H281" s="126" t="s">
        <v>628</v>
      </c>
      <c r="I281" s="126" t="s">
        <v>598</v>
      </c>
      <c r="J281" s="126" t="s">
        <v>635</v>
      </c>
      <c r="K281" s="128" t="s">
        <v>636</v>
      </c>
      <c r="L281" s="121" t="s">
        <v>515</v>
      </c>
      <c r="M281" s="123" t="s">
        <v>857</v>
      </c>
      <c r="N281" s="129">
        <v>42614</v>
      </c>
      <c r="O281" s="129">
        <v>43951</v>
      </c>
      <c r="P281" s="129">
        <v>44117</v>
      </c>
      <c r="Q281" s="130">
        <v>316000</v>
      </c>
      <c r="R281" s="113"/>
      <c r="S281" s="132">
        <v>81000</v>
      </c>
      <c r="T281" s="132">
        <v>0</v>
      </c>
      <c r="U281" s="132">
        <v>15000</v>
      </c>
      <c r="V281" s="132"/>
      <c r="W281" s="132">
        <v>8000</v>
      </c>
      <c r="X281" s="132">
        <v>0</v>
      </c>
      <c r="Y281" s="111">
        <v>104000</v>
      </c>
      <c r="Z281" s="133">
        <f t="shared" si="56"/>
        <v>104000</v>
      </c>
      <c r="AA281" s="133">
        <f t="shared" si="57"/>
        <v>0</v>
      </c>
      <c r="AB281" s="141"/>
      <c r="AC281" s="132">
        <v>81000</v>
      </c>
      <c r="AD281" s="132">
        <v>0</v>
      </c>
      <c r="AE281" s="132">
        <v>15000</v>
      </c>
      <c r="AF281" s="132">
        <v>10000</v>
      </c>
      <c r="AG281" s="132">
        <v>0</v>
      </c>
      <c r="AH281" s="132"/>
      <c r="AI281" s="111">
        <v>106000</v>
      </c>
      <c r="AJ281" s="134">
        <f t="shared" si="55"/>
        <v>106000</v>
      </c>
      <c r="AK281" s="134">
        <f t="shared" si="50"/>
        <v>0</v>
      </c>
      <c r="AL281" s="142"/>
      <c r="AM281" s="135">
        <v>81000</v>
      </c>
      <c r="AN281" s="135">
        <v>0</v>
      </c>
      <c r="AO281" s="135">
        <v>15000</v>
      </c>
      <c r="AP281" s="135"/>
      <c r="AQ281" s="135">
        <v>10000</v>
      </c>
      <c r="AR281" s="135">
        <v>0</v>
      </c>
      <c r="AS281" s="116">
        <v>106000</v>
      </c>
      <c r="AT281" s="134">
        <f t="shared" si="54"/>
        <v>106000</v>
      </c>
      <c r="AU281" s="134">
        <f t="shared" si="51"/>
        <v>0</v>
      </c>
      <c r="AV281" s="142"/>
      <c r="AW281" s="135"/>
      <c r="AX281" s="135"/>
      <c r="AY281" s="135"/>
      <c r="AZ281" s="135"/>
      <c r="BA281" s="135"/>
      <c r="BB281" s="116"/>
      <c r="BC281" s="113"/>
      <c r="BD281" s="116"/>
      <c r="BE281" s="113"/>
      <c r="BF281" s="116"/>
      <c r="BG281" s="116"/>
      <c r="BH281" s="137">
        <f t="shared" si="52"/>
        <v>316000</v>
      </c>
      <c r="BI281" s="138">
        <f t="shared" si="53"/>
        <v>0</v>
      </c>
      <c r="BJ281" s="126"/>
      <c r="BK281" s="91"/>
    </row>
    <row r="282" spans="1:63" ht="15.75">
      <c r="A282" s="123">
        <v>499977</v>
      </c>
      <c r="B282" s="126">
        <v>211963</v>
      </c>
      <c r="C282" s="124" t="s">
        <v>1314</v>
      </c>
      <c r="D282" s="124" t="s">
        <v>1315</v>
      </c>
      <c r="E282" s="125" t="s">
        <v>1313</v>
      </c>
      <c r="F282" s="124" t="s">
        <v>84</v>
      </c>
      <c r="G282" s="127" t="s">
        <v>46</v>
      </c>
      <c r="H282" s="126" t="s">
        <v>597</v>
      </c>
      <c r="I282" s="126" t="s">
        <v>598</v>
      </c>
      <c r="J282" s="126" t="s">
        <v>696</v>
      </c>
      <c r="K282" s="128" t="s">
        <v>697</v>
      </c>
      <c r="L282" s="121" t="s">
        <v>637</v>
      </c>
      <c r="M282" s="123" t="s">
        <v>638</v>
      </c>
      <c r="N282" s="129">
        <v>42248</v>
      </c>
      <c r="O282" s="129">
        <v>42643</v>
      </c>
      <c r="P282" s="129">
        <v>42670</v>
      </c>
      <c r="Q282" s="130">
        <v>142541.56</v>
      </c>
      <c r="R282" s="132">
        <v>69999</v>
      </c>
      <c r="S282" s="132"/>
      <c r="T282" s="132">
        <v>10000</v>
      </c>
      <c r="U282" s="132">
        <v>0</v>
      </c>
      <c r="V282" s="132"/>
      <c r="W282" s="132">
        <v>4210</v>
      </c>
      <c r="X282" s="132">
        <v>58333</v>
      </c>
      <c r="Y282" s="111">
        <v>142541.56</v>
      </c>
      <c r="Z282" s="133">
        <f t="shared" si="56"/>
        <v>142542</v>
      </c>
      <c r="AA282" s="133">
        <f t="shared" si="57"/>
        <v>0.44000000000232831</v>
      </c>
      <c r="AB282" s="141"/>
      <c r="AC282" s="132" t="s">
        <v>602</v>
      </c>
      <c r="AD282" s="132" t="s">
        <v>602</v>
      </c>
      <c r="AE282" s="132" t="s">
        <v>602</v>
      </c>
      <c r="AF282" s="132" t="s">
        <v>602</v>
      </c>
      <c r="AG282" s="132" t="s">
        <v>602</v>
      </c>
      <c r="AH282" s="132"/>
      <c r="AI282" s="111">
        <v>0</v>
      </c>
      <c r="AJ282" s="134">
        <f t="shared" si="55"/>
        <v>0</v>
      </c>
      <c r="AK282" s="134">
        <f t="shared" si="50"/>
        <v>0</v>
      </c>
      <c r="AL282" s="142"/>
      <c r="AM282" s="132">
        <v>0</v>
      </c>
      <c r="AN282" s="132">
        <v>0</v>
      </c>
      <c r="AO282" s="132">
        <v>0</v>
      </c>
      <c r="AP282" s="132">
        <v>0</v>
      </c>
      <c r="AQ282" s="132">
        <v>0</v>
      </c>
      <c r="AR282" s="132">
        <v>0</v>
      </c>
      <c r="AS282" s="116">
        <v>0</v>
      </c>
      <c r="AT282" s="134">
        <f t="shared" si="54"/>
        <v>0</v>
      </c>
      <c r="AU282" s="134">
        <f t="shared" si="51"/>
        <v>0</v>
      </c>
      <c r="AV282" s="142"/>
      <c r="AW282" s="132" t="s">
        <v>602</v>
      </c>
      <c r="AX282" s="132" t="s">
        <v>602</v>
      </c>
      <c r="AY282" s="132" t="s">
        <v>602</v>
      </c>
      <c r="AZ282" s="132" t="s">
        <v>602</v>
      </c>
      <c r="BA282" s="132" t="s">
        <v>602</v>
      </c>
      <c r="BB282" s="116"/>
      <c r="BC282" s="113"/>
      <c r="BD282" s="116"/>
      <c r="BE282" s="113"/>
      <c r="BF282" s="116"/>
      <c r="BG282" s="116"/>
      <c r="BH282" s="137">
        <f t="shared" si="52"/>
        <v>142541.56</v>
      </c>
      <c r="BI282" s="138">
        <f t="shared" si="53"/>
        <v>0</v>
      </c>
      <c r="BJ282" s="126" t="s">
        <v>1316</v>
      </c>
      <c r="BK282" s="91"/>
    </row>
    <row r="283" spans="1:63" ht="15.75">
      <c r="A283" s="123">
        <v>501333</v>
      </c>
      <c r="B283" s="126">
        <v>211963</v>
      </c>
      <c r="C283" s="124" t="s">
        <v>1314</v>
      </c>
      <c r="D283" s="124" t="s">
        <v>1315</v>
      </c>
      <c r="E283" s="125" t="s">
        <v>1313</v>
      </c>
      <c r="F283" s="124" t="s">
        <v>84</v>
      </c>
      <c r="G283" s="127" t="s">
        <v>46</v>
      </c>
      <c r="H283" s="126" t="s">
        <v>597</v>
      </c>
      <c r="I283" s="126" t="s">
        <v>598</v>
      </c>
      <c r="J283" s="126" t="s">
        <v>696</v>
      </c>
      <c r="K283" s="128" t="s">
        <v>697</v>
      </c>
      <c r="L283" s="121" t="s">
        <v>515</v>
      </c>
      <c r="M283" s="123" t="s">
        <v>797</v>
      </c>
      <c r="N283" s="129">
        <v>42614</v>
      </c>
      <c r="O283" s="129">
        <v>43830</v>
      </c>
      <c r="P283" s="129">
        <v>44144</v>
      </c>
      <c r="Q283" s="130">
        <v>210000</v>
      </c>
      <c r="R283" s="113"/>
      <c r="S283" s="132">
        <v>70000</v>
      </c>
      <c r="T283" s="132">
        <v>0</v>
      </c>
      <c r="U283" s="132">
        <v>0</v>
      </c>
      <c r="V283" s="132"/>
      <c r="W283" s="132">
        <v>0</v>
      </c>
      <c r="X283" s="132">
        <v>0</v>
      </c>
      <c r="Y283" s="111">
        <v>70000</v>
      </c>
      <c r="Z283" s="133">
        <f t="shared" si="56"/>
        <v>70000</v>
      </c>
      <c r="AA283" s="133">
        <f t="shared" si="57"/>
        <v>0</v>
      </c>
      <c r="AB283" s="141"/>
      <c r="AC283" s="132">
        <v>70000</v>
      </c>
      <c r="AD283" s="132">
        <v>0</v>
      </c>
      <c r="AE283" s="132">
        <v>0</v>
      </c>
      <c r="AF283" s="132">
        <v>0</v>
      </c>
      <c r="AG283" s="132">
        <v>0</v>
      </c>
      <c r="AH283" s="132"/>
      <c r="AI283" s="111">
        <v>70000</v>
      </c>
      <c r="AJ283" s="134">
        <f t="shared" si="55"/>
        <v>70000</v>
      </c>
      <c r="AK283" s="134">
        <f t="shared" si="50"/>
        <v>0</v>
      </c>
      <c r="AL283" s="142"/>
      <c r="AM283" s="135">
        <v>70000</v>
      </c>
      <c r="AN283" s="135">
        <v>0</v>
      </c>
      <c r="AO283" s="135">
        <v>0</v>
      </c>
      <c r="AP283" s="135"/>
      <c r="AQ283" s="135">
        <v>0</v>
      </c>
      <c r="AR283" s="135">
        <v>0</v>
      </c>
      <c r="AS283" s="116">
        <v>70000</v>
      </c>
      <c r="AT283" s="134">
        <f t="shared" si="54"/>
        <v>70000</v>
      </c>
      <c r="AU283" s="134">
        <f t="shared" si="51"/>
        <v>0</v>
      </c>
      <c r="AV283" s="142"/>
      <c r="AW283" s="135"/>
      <c r="AX283" s="135"/>
      <c r="AY283" s="135"/>
      <c r="AZ283" s="135"/>
      <c r="BA283" s="135"/>
      <c r="BB283" s="116"/>
      <c r="BC283" s="113"/>
      <c r="BD283" s="116"/>
      <c r="BE283" s="113"/>
      <c r="BF283" s="116"/>
      <c r="BG283" s="116"/>
      <c r="BH283" s="137">
        <f t="shared" si="52"/>
        <v>210000</v>
      </c>
      <c r="BI283" s="138">
        <f t="shared" si="53"/>
        <v>0</v>
      </c>
      <c r="BJ283" s="126"/>
      <c r="BK283" s="91"/>
    </row>
    <row r="284" spans="1:63" ht="15.75">
      <c r="A284" s="123">
        <v>501334</v>
      </c>
      <c r="B284" s="126">
        <v>211963</v>
      </c>
      <c r="C284" s="124" t="s">
        <v>1314</v>
      </c>
      <c r="D284" s="124" t="s">
        <v>1315</v>
      </c>
      <c r="E284" s="125" t="s">
        <v>1313</v>
      </c>
      <c r="F284" s="124" t="s">
        <v>84</v>
      </c>
      <c r="G284" s="127" t="s">
        <v>46</v>
      </c>
      <c r="H284" s="126" t="s">
        <v>628</v>
      </c>
      <c r="I284" s="126" t="s">
        <v>598</v>
      </c>
      <c r="J284" s="126" t="s">
        <v>696</v>
      </c>
      <c r="K284" s="128" t="s">
        <v>697</v>
      </c>
      <c r="L284" s="121" t="s">
        <v>515</v>
      </c>
      <c r="M284" s="123" t="s">
        <v>840</v>
      </c>
      <c r="N284" s="129">
        <v>42614</v>
      </c>
      <c r="O284" s="129">
        <v>43708</v>
      </c>
      <c r="P284" s="129">
        <v>44144</v>
      </c>
      <c r="Q284" s="130">
        <v>150000</v>
      </c>
      <c r="R284" s="113"/>
      <c r="S284" s="132">
        <v>50000</v>
      </c>
      <c r="T284" s="132">
        <v>0</v>
      </c>
      <c r="U284" s="132">
        <v>0</v>
      </c>
      <c r="V284" s="132"/>
      <c r="W284" s="132">
        <v>0</v>
      </c>
      <c r="X284" s="132">
        <v>0</v>
      </c>
      <c r="Y284" s="111">
        <v>50000</v>
      </c>
      <c r="Z284" s="133">
        <f t="shared" si="56"/>
        <v>50000</v>
      </c>
      <c r="AA284" s="133">
        <f t="shared" si="57"/>
        <v>0</v>
      </c>
      <c r="AB284" s="141"/>
      <c r="AC284" s="132">
        <v>50000</v>
      </c>
      <c r="AD284" s="132">
        <v>0</v>
      </c>
      <c r="AE284" s="132">
        <v>0</v>
      </c>
      <c r="AF284" s="132">
        <v>0</v>
      </c>
      <c r="AG284" s="132">
        <v>0</v>
      </c>
      <c r="AH284" s="132"/>
      <c r="AI284" s="111">
        <v>50000</v>
      </c>
      <c r="AJ284" s="134">
        <f t="shared" si="55"/>
        <v>50000</v>
      </c>
      <c r="AK284" s="134">
        <f t="shared" si="50"/>
        <v>0</v>
      </c>
      <c r="AL284" s="142"/>
      <c r="AM284" s="135">
        <v>50000</v>
      </c>
      <c r="AN284" s="135">
        <v>0</v>
      </c>
      <c r="AO284" s="135">
        <v>0</v>
      </c>
      <c r="AP284" s="135"/>
      <c r="AQ284" s="135">
        <v>0</v>
      </c>
      <c r="AR284" s="135">
        <v>0</v>
      </c>
      <c r="AS284" s="116">
        <v>50000</v>
      </c>
      <c r="AT284" s="134">
        <f t="shared" si="54"/>
        <v>50000</v>
      </c>
      <c r="AU284" s="134">
        <f t="shared" si="51"/>
        <v>0</v>
      </c>
      <c r="AV284" s="142"/>
      <c r="AW284" s="135"/>
      <c r="AX284" s="135"/>
      <c r="AY284" s="135"/>
      <c r="AZ284" s="135"/>
      <c r="BA284" s="135"/>
      <c r="BB284" s="116"/>
      <c r="BC284" s="113"/>
      <c r="BD284" s="116"/>
      <c r="BE284" s="113"/>
      <c r="BF284" s="116"/>
      <c r="BG284" s="116"/>
      <c r="BH284" s="137">
        <f t="shared" si="52"/>
        <v>150000</v>
      </c>
      <c r="BI284" s="138">
        <f t="shared" si="53"/>
        <v>0</v>
      </c>
      <c r="BJ284" s="126"/>
      <c r="BK284" s="91"/>
    </row>
    <row r="285" spans="1:63" ht="15.75">
      <c r="A285" s="123">
        <v>501345</v>
      </c>
      <c r="B285" s="126">
        <v>211963</v>
      </c>
      <c r="C285" s="124" t="s">
        <v>1314</v>
      </c>
      <c r="D285" s="124" t="s">
        <v>1315</v>
      </c>
      <c r="E285" s="125" t="s">
        <v>1313</v>
      </c>
      <c r="F285" s="124" t="s">
        <v>84</v>
      </c>
      <c r="G285" s="127" t="s">
        <v>46</v>
      </c>
      <c r="H285" s="126" t="s">
        <v>628</v>
      </c>
      <c r="I285" s="126" t="s">
        <v>598</v>
      </c>
      <c r="J285" s="126" t="s">
        <v>696</v>
      </c>
      <c r="K285" s="128" t="s">
        <v>697</v>
      </c>
      <c r="L285" s="121" t="s">
        <v>515</v>
      </c>
      <c r="M285" s="123" t="s">
        <v>714</v>
      </c>
      <c r="N285" s="129">
        <v>42614</v>
      </c>
      <c r="O285" s="129">
        <v>43890</v>
      </c>
      <c r="P285" s="129">
        <v>44145</v>
      </c>
      <c r="Q285" s="130">
        <v>70000</v>
      </c>
      <c r="R285" s="113"/>
      <c r="S285" s="132">
        <v>0</v>
      </c>
      <c r="T285" s="132">
        <v>0</v>
      </c>
      <c r="U285" s="132">
        <v>0</v>
      </c>
      <c r="V285" s="132"/>
      <c r="W285" s="132">
        <v>0</v>
      </c>
      <c r="X285" s="132">
        <v>0</v>
      </c>
      <c r="Y285" s="111">
        <v>0</v>
      </c>
      <c r="Z285" s="133">
        <f t="shared" si="56"/>
        <v>0</v>
      </c>
      <c r="AA285" s="133">
        <f t="shared" si="57"/>
        <v>0</v>
      </c>
      <c r="AB285" s="141"/>
      <c r="AC285" s="132">
        <v>35000</v>
      </c>
      <c r="AD285" s="132">
        <v>0</v>
      </c>
      <c r="AE285" s="132">
        <v>0</v>
      </c>
      <c r="AF285" s="132">
        <v>0</v>
      </c>
      <c r="AG285" s="132">
        <v>0</v>
      </c>
      <c r="AH285" s="132"/>
      <c r="AI285" s="111">
        <v>35000</v>
      </c>
      <c r="AJ285" s="134">
        <f t="shared" si="55"/>
        <v>35000</v>
      </c>
      <c r="AK285" s="134">
        <f t="shared" si="50"/>
        <v>0</v>
      </c>
      <c r="AL285" s="142"/>
      <c r="AM285" s="135">
        <v>35000</v>
      </c>
      <c r="AN285" s="135">
        <v>0</v>
      </c>
      <c r="AO285" s="135">
        <v>0</v>
      </c>
      <c r="AP285" s="135"/>
      <c r="AQ285" s="135">
        <v>0</v>
      </c>
      <c r="AR285" s="135">
        <v>0</v>
      </c>
      <c r="AS285" s="116">
        <v>35000</v>
      </c>
      <c r="AT285" s="134">
        <f t="shared" si="54"/>
        <v>35000</v>
      </c>
      <c r="AU285" s="134">
        <f t="shared" si="51"/>
        <v>0</v>
      </c>
      <c r="AV285" s="142"/>
      <c r="AW285" s="135"/>
      <c r="AX285" s="135"/>
      <c r="AY285" s="135"/>
      <c r="AZ285" s="135"/>
      <c r="BA285" s="135"/>
      <c r="BB285" s="116"/>
      <c r="BC285" s="113"/>
      <c r="BD285" s="116"/>
      <c r="BE285" s="113"/>
      <c r="BF285" s="116"/>
      <c r="BG285" s="116"/>
      <c r="BH285" s="137">
        <f t="shared" si="52"/>
        <v>70000</v>
      </c>
      <c r="BI285" s="138">
        <f t="shared" si="53"/>
        <v>0</v>
      </c>
      <c r="BJ285" s="126" t="s">
        <v>1144</v>
      </c>
      <c r="BK285" s="91"/>
    </row>
    <row r="286" spans="1:63" ht="15.75">
      <c r="A286" s="123">
        <v>507638</v>
      </c>
      <c r="B286" s="126">
        <v>211963</v>
      </c>
      <c r="C286" s="124" t="s">
        <v>1314</v>
      </c>
      <c r="D286" s="124" t="s">
        <v>1315</v>
      </c>
      <c r="E286" s="125" t="s">
        <v>1313</v>
      </c>
      <c r="F286" s="124" t="s">
        <v>84</v>
      </c>
      <c r="G286" s="127" t="s">
        <v>46</v>
      </c>
      <c r="H286" s="126" t="s">
        <v>628</v>
      </c>
      <c r="I286" s="126" t="s">
        <v>598</v>
      </c>
      <c r="J286" s="126" t="s">
        <v>696</v>
      </c>
      <c r="K286" s="128" t="s">
        <v>697</v>
      </c>
      <c r="L286" s="121" t="s">
        <v>519</v>
      </c>
      <c r="M286" s="123" t="s">
        <v>791</v>
      </c>
      <c r="N286" s="129">
        <v>43709</v>
      </c>
      <c r="O286" s="129">
        <v>44530</v>
      </c>
      <c r="P286" s="129">
        <v>44530</v>
      </c>
      <c r="Q286" s="130">
        <f>133500+133500</f>
        <v>267000</v>
      </c>
      <c r="R286" s="113"/>
      <c r="S286" s="132">
        <v>133500</v>
      </c>
      <c r="T286" s="132"/>
      <c r="U286" s="132"/>
      <c r="V286" s="132"/>
      <c r="W286" s="132"/>
      <c r="X286" s="132"/>
      <c r="Y286" s="111">
        <v>133500</v>
      </c>
      <c r="Z286" s="133">
        <f t="shared" si="56"/>
        <v>133500</v>
      </c>
      <c r="AA286" s="133">
        <f t="shared" si="57"/>
        <v>0</v>
      </c>
      <c r="AB286" s="141"/>
      <c r="AC286" s="132">
        <v>133500</v>
      </c>
      <c r="AD286" s="132">
        <v>0</v>
      </c>
      <c r="AE286" s="132">
        <v>0</v>
      </c>
      <c r="AF286" s="132">
        <v>0</v>
      </c>
      <c r="AG286" s="132">
        <v>0</v>
      </c>
      <c r="AH286" s="132">
        <v>0</v>
      </c>
      <c r="AI286" s="111">
        <v>133500</v>
      </c>
      <c r="AJ286" s="134">
        <f t="shared" si="55"/>
        <v>133500</v>
      </c>
      <c r="AK286" s="134">
        <f t="shared" si="50"/>
        <v>0</v>
      </c>
      <c r="AL286" s="142"/>
      <c r="AM286" s="132">
        <v>133000</v>
      </c>
      <c r="AN286" s="151">
        <v>0</v>
      </c>
      <c r="AO286" s="151">
        <v>0</v>
      </c>
      <c r="AP286" s="151">
        <v>0</v>
      </c>
      <c r="AQ286" s="151">
        <v>0</v>
      </c>
      <c r="AR286" s="151"/>
      <c r="AS286" s="116">
        <f>SUM(AM286:AR286)</f>
        <v>133000</v>
      </c>
      <c r="AT286" s="134">
        <f t="shared" si="54"/>
        <v>133000</v>
      </c>
      <c r="AU286" s="134">
        <f t="shared" si="51"/>
        <v>0</v>
      </c>
      <c r="AV286" s="142"/>
      <c r="AW286" s="135">
        <v>0</v>
      </c>
      <c r="AX286" s="135">
        <v>0</v>
      </c>
      <c r="AY286" s="135">
        <v>0</v>
      </c>
      <c r="AZ286" s="135">
        <v>0</v>
      </c>
      <c r="BA286" s="135">
        <v>0</v>
      </c>
      <c r="BB286" s="116">
        <v>0</v>
      </c>
      <c r="BC286" s="113"/>
      <c r="BD286" s="116"/>
      <c r="BE286" s="113"/>
      <c r="BF286" s="116"/>
      <c r="BG286" s="116"/>
      <c r="BH286" s="137">
        <f t="shared" si="52"/>
        <v>400000</v>
      </c>
      <c r="BI286" s="138">
        <f t="shared" si="53"/>
        <v>133000</v>
      </c>
      <c r="BJ286" s="126"/>
      <c r="BK286" s="91"/>
    </row>
    <row r="287" spans="1:63" ht="15.75">
      <c r="A287" s="123">
        <v>507693</v>
      </c>
      <c r="B287" s="126">
        <v>211963</v>
      </c>
      <c r="C287" s="124" t="s">
        <v>1314</v>
      </c>
      <c r="D287" s="124" t="s">
        <v>1315</v>
      </c>
      <c r="E287" s="125" t="s">
        <v>1313</v>
      </c>
      <c r="F287" s="124" t="s">
        <v>84</v>
      </c>
      <c r="G287" s="127" t="s">
        <v>46</v>
      </c>
      <c r="H287" s="126" t="s">
        <v>628</v>
      </c>
      <c r="I287" s="126" t="s">
        <v>598</v>
      </c>
      <c r="J287" s="126" t="s">
        <v>696</v>
      </c>
      <c r="K287" s="128" t="s">
        <v>697</v>
      </c>
      <c r="L287" s="121" t="s">
        <v>519</v>
      </c>
      <c r="M287" s="123" t="s">
        <v>717</v>
      </c>
      <c r="N287" s="129">
        <v>43709</v>
      </c>
      <c r="O287" s="129">
        <v>44530</v>
      </c>
      <c r="P287" s="129">
        <v>44530</v>
      </c>
      <c r="Q287" s="130">
        <f>33450+33450</f>
        <v>66900</v>
      </c>
      <c r="R287" s="113"/>
      <c r="S287" s="132">
        <v>33450</v>
      </c>
      <c r="T287" s="132"/>
      <c r="U287" s="132"/>
      <c r="V287" s="132"/>
      <c r="W287" s="132"/>
      <c r="X287" s="132"/>
      <c r="Y287" s="111">
        <v>33450</v>
      </c>
      <c r="Z287" s="133">
        <f t="shared" si="56"/>
        <v>33450</v>
      </c>
      <c r="AA287" s="133">
        <f t="shared" si="57"/>
        <v>0</v>
      </c>
      <c r="AB287" s="141"/>
      <c r="AC287" s="132">
        <v>33450</v>
      </c>
      <c r="AD287" s="132"/>
      <c r="AE287" s="132"/>
      <c r="AF287" s="132"/>
      <c r="AG287" s="132"/>
      <c r="AH287" s="132"/>
      <c r="AI287" s="111">
        <v>33450</v>
      </c>
      <c r="AJ287" s="134">
        <f t="shared" si="55"/>
        <v>33450</v>
      </c>
      <c r="AK287" s="134">
        <f t="shared" si="50"/>
        <v>0</v>
      </c>
      <c r="AL287" s="142"/>
      <c r="AM287" s="132">
        <v>33450</v>
      </c>
      <c r="AN287" s="132"/>
      <c r="AO287" s="132"/>
      <c r="AP287" s="135"/>
      <c r="AQ287" s="135"/>
      <c r="AR287" s="135"/>
      <c r="AS287" s="116">
        <f>SUM(AM287:AR287)</f>
        <v>33450</v>
      </c>
      <c r="AT287" s="134">
        <f t="shared" si="54"/>
        <v>33450</v>
      </c>
      <c r="AU287" s="134">
        <f t="shared" si="51"/>
        <v>0</v>
      </c>
      <c r="AV287" s="142"/>
      <c r="AW287" s="135"/>
      <c r="AX287" s="135"/>
      <c r="AY287" s="135"/>
      <c r="AZ287" s="135"/>
      <c r="BA287" s="135"/>
      <c r="BB287" s="116"/>
      <c r="BC287" s="113"/>
      <c r="BD287" s="116"/>
      <c r="BE287" s="113"/>
      <c r="BF287" s="116"/>
      <c r="BG287" s="116"/>
      <c r="BH287" s="137">
        <f t="shared" si="52"/>
        <v>100350</v>
      </c>
      <c r="BI287" s="138">
        <f t="shared" si="53"/>
        <v>33450</v>
      </c>
      <c r="BJ287" s="126"/>
      <c r="BK287" s="91"/>
    </row>
    <row r="288" spans="1:63" ht="15.75">
      <c r="A288" s="123">
        <v>507776</v>
      </c>
      <c r="B288" s="126">
        <v>211963</v>
      </c>
      <c r="C288" s="124" t="s">
        <v>1314</v>
      </c>
      <c r="D288" s="124" t="s">
        <v>1315</v>
      </c>
      <c r="E288" s="140" t="s">
        <v>1313</v>
      </c>
      <c r="F288" s="124" t="s">
        <v>84</v>
      </c>
      <c r="G288" s="127" t="s">
        <v>46</v>
      </c>
      <c r="H288" s="126" t="s">
        <v>628</v>
      </c>
      <c r="I288" s="126" t="s">
        <v>598</v>
      </c>
      <c r="J288" s="126" t="s">
        <v>696</v>
      </c>
      <c r="K288" s="128" t="s">
        <v>697</v>
      </c>
      <c r="L288" s="121" t="s">
        <v>519</v>
      </c>
      <c r="M288" s="123" t="s">
        <v>1080</v>
      </c>
      <c r="N288" s="129">
        <v>43709</v>
      </c>
      <c r="O288" s="129">
        <v>44530</v>
      </c>
      <c r="P288" s="129">
        <v>44530</v>
      </c>
      <c r="Q288" s="130">
        <f>16000+34000+50000</f>
        <v>100000</v>
      </c>
      <c r="R288" s="113"/>
      <c r="S288" s="132">
        <v>50000</v>
      </c>
      <c r="T288" s="132"/>
      <c r="U288" s="132"/>
      <c r="V288" s="132"/>
      <c r="W288" s="132"/>
      <c r="X288" s="132"/>
      <c r="Y288" s="111">
        <v>50000</v>
      </c>
      <c r="Z288" s="133">
        <f t="shared" si="56"/>
        <v>50000</v>
      </c>
      <c r="AA288" s="133">
        <f t="shared" si="57"/>
        <v>0</v>
      </c>
      <c r="AB288" s="141"/>
      <c r="AC288" s="132">
        <v>50000</v>
      </c>
      <c r="AD288" s="132"/>
      <c r="AE288" s="132"/>
      <c r="AF288" s="132"/>
      <c r="AG288" s="132"/>
      <c r="AH288" s="132"/>
      <c r="AI288" s="111">
        <v>50000</v>
      </c>
      <c r="AJ288" s="134">
        <f t="shared" si="55"/>
        <v>50000</v>
      </c>
      <c r="AK288" s="134">
        <f t="shared" si="50"/>
        <v>0</v>
      </c>
      <c r="AL288" s="142"/>
      <c r="AM288" s="135">
        <v>50000</v>
      </c>
      <c r="AN288" s="135"/>
      <c r="AO288" s="135"/>
      <c r="AP288" s="135"/>
      <c r="AQ288" s="135"/>
      <c r="AR288" s="135"/>
      <c r="AS288" s="116">
        <f>SUM(AM288:AR288)</f>
        <v>50000</v>
      </c>
      <c r="AT288" s="134">
        <f t="shared" si="54"/>
        <v>50000</v>
      </c>
      <c r="AU288" s="134">
        <f t="shared" si="51"/>
        <v>0</v>
      </c>
      <c r="AV288" s="142"/>
      <c r="AW288" s="135"/>
      <c r="AX288" s="135"/>
      <c r="AY288" s="135"/>
      <c r="AZ288" s="135"/>
      <c r="BA288" s="135"/>
      <c r="BB288" s="116"/>
      <c r="BC288" s="113"/>
      <c r="BD288" s="116"/>
      <c r="BE288" s="113"/>
      <c r="BF288" s="116"/>
      <c r="BG288" s="116"/>
      <c r="BH288" s="137">
        <f t="shared" si="52"/>
        <v>150000</v>
      </c>
      <c r="BI288" s="138">
        <f t="shared" si="53"/>
        <v>50000</v>
      </c>
      <c r="BJ288" s="126"/>
      <c r="BK288" s="91"/>
    </row>
    <row r="289" spans="1:63" ht="15.75">
      <c r="A289" s="123">
        <v>502801</v>
      </c>
      <c r="B289" s="126">
        <v>211974</v>
      </c>
      <c r="C289" s="124" t="s">
        <v>1319</v>
      </c>
      <c r="D289" s="124" t="s">
        <v>1320</v>
      </c>
      <c r="E289" s="125" t="s">
        <v>1317</v>
      </c>
      <c r="F289" s="124" t="s">
        <v>1318</v>
      </c>
      <c r="G289" s="127" t="s">
        <v>75</v>
      </c>
      <c r="H289" s="126" t="s">
        <v>628</v>
      </c>
      <c r="I289" s="126" t="s">
        <v>598</v>
      </c>
      <c r="J289" s="126" t="s">
        <v>730</v>
      </c>
      <c r="K289" s="128" t="s">
        <v>735</v>
      </c>
      <c r="L289" s="121" t="s">
        <v>19</v>
      </c>
      <c r="M289" s="123" t="s">
        <v>753</v>
      </c>
      <c r="N289" s="129">
        <v>42826</v>
      </c>
      <c r="O289" s="129">
        <v>43555</v>
      </c>
      <c r="P289" s="129">
        <v>43190</v>
      </c>
      <c r="Q289" s="144">
        <v>63280</v>
      </c>
      <c r="R289" s="150"/>
      <c r="S289" s="132">
        <v>20090</v>
      </c>
      <c r="T289" s="132">
        <v>0</v>
      </c>
      <c r="U289" s="132">
        <v>3270</v>
      </c>
      <c r="V289" s="132">
        <v>0</v>
      </c>
      <c r="W289" s="132">
        <v>8280</v>
      </c>
      <c r="X289" s="132">
        <v>0</v>
      </c>
      <c r="Y289" s="111">
        <v>31640</v>
      </c>
      <c r="Z289" s="133">
        <f t="shared" si="56"/>
        <v>31640</v>
      </c>
      <c r="AA289" s="133">
        <f t="shared" si="57"/>
        <v>0</v>
      </c>
      <c r="AB289" s="141"/>
      <c r="AC289" s="132">
        <v>20090</v>
      </c>
      <c r="AD289" s="132">
        <v>0</v>
      </c>
      <c r="AE289" s="132">
        <v>3270</v>
      </c>
      <c r="AF289" s="132"/>
      <c r="AG289" s="132">
        <v>8280</v>
      </c>
      <c r="AH289" s="132"/>
      <c r="AI289" s="111">
        <v>31640</v>
      </c>
      <c r="AJ289" s="134">
        <f t="shared" si="55"/>
        <v>31640</v>
      </c>
      <c r="AK289" s="134">
        <f t="shared" si="50"/>
        <v>0</v>
      </c>
      <c r="AL289" s="145"/>
      <c r="AM289" s="132">
        <v>0</v>
      </c>
      <c r="AN289" s="132">
        <v>0</v>
      </c>
      <c r="AO289" s="132">
        <v>0</v>
      </c>
      <c r="AP289" s="132">
        <v>0</v>
      </c>
      <c r="AQ289" s="132">
        <v>0</v>
      </c>
      <c r="AR289" s="132">
        <v>0</v>
      </c>
      <c r="AS289" s="116">
        <v>0</v>
      </c>
      <c r="AT289" s="134">
        <f t="shared" si="54"/>
        <v>0</v>
      </c>
      <c r="AU289" s="134">
        <f t="shared" si="51"/>
        <v>0</v>
      </c>
      <c r="AV289" s="142"/>
      <c r="AW289" s="135"/>
      <c r="AX289" s="135"/>
      <c r="AY289" s="135"/>
      <c r="AZ289" s="135"/>
      <c r="BA289" s="135"/>
      <c r="BB289" s="116"/>
      <c r="BC289" s="113"/>
      <c r="BD289" s="116"/>
      <c r="BE289" s="113"/>
      <c r="BF289" s="116"/>
      <c r="BG289" s="116"/>
      <c r="BH289" s="137">
        <f t="shared" si="52"/>
        <v>63280</v>
      </c>
      <c r="BI289" s="138">
        <f t="shared" si="53"/>
        <v>0</v>
      </c>
      <c r="BJ289" s="126"/>
      <c r="BK289" s="91"/>
    </row>
    <row r="290" spans="1:63" ht="15.75">
      <c r="A290" s="123">
        <v>500322</v>
      </c>
      <c r="B290" s="126">
        <v>212041</v>
      </c>
      <c r="C290" s="124" t="s">
        <v>1323</v>
      </c>
      <c r="D290" s="124" t="s">
        <v>1324</v>
      </c>
      <c r="E290" s="125" t="s">
        <v>1321</v>
      </c>
      <c r="F290" s="124" t="s">
        <v>1322</v>
      </c>
      <c r="G290" s="127" t="s">
        <v>82</v>
      </c>
      <c r="H290" s="126" t="s">
        <v>597</v>
      </c>
      <c r="I290" s="126" t="s">
        <v>598</v>
      </c>
      <c r="J290" s="126" t="s">
        <v>888</v>
      </c>
      <c r="K290" s="128" t="s">
        <v>731</v>
      </c>
      <c r="L290" s="121" t="s">
        <v>637</v>
      </c>
      <c r="M290" s="123" t="s">
        <v>638</v>
      </c>
      <c r="N290" s="129">
        <v>42248</v>
      </c>
      <c r="O290" s="129">
        <v>42643</v>
      </c>
      <c r="P290" s="129">
        <v>42643</v>
      </c>
      <c r="Q290" s="130">
        <v>16700</v>
      </c>
      <c r="R290" s="132">
        <v>16700</v>
      </c>
      <c r="S290" s="132"/>
      <c r="T290" s="132">
        <v>0</v>
      </c>
      <c r="U290" s="132">
        <v>0</v>
      </c>
      <c r="V290" s="132"/>
      <c r="W290" s="132">
        <v>0</v>
      </c>
      <c r="X290" s="132">
        <v>0</v>
      </c>
      <c r="Y290" s="111">
        <v>16700</v>
      </c>
      <c r="Z290" s="133">
        <f t="shared" si="56"/>
        <v>16700</v>
      </c>
      <c r="AA290" s="133">
        <f t="shared" si="57"/>
        <v>0</v>
      </c>
      <c r="AB290" s="141"/>
      <c r="AC290" s="132" t="s">
        <v>602</v>
      </c>
      <c r="AD290" s="132" t="s">
        <v>602</v>
      </c>
      <c r="AE290" s="132" t="s">
        <v>602</v>
      </c>
      <c r="AF290" s="132" t="s">
        <v>602</v>
      </c>
      <c r="AG290" s="132" t="s">
        <v>602</v>
      </c>
      <c r="AH290" s="132"/>
      <c r="AI290" s="111">
        <v>0</v>
      </c>
      <c r="AJ290" s="134">
        <f t="shared" si="55"/>
        <v>0</v>
      </c>
      <c r="AK290" s="134">
        <f t="shared" si="50"/>
        <v>0</v>
      </c>
      <c r="AL290" s="142"/>
      <c r="AM290" s="132">
        <v>0</v>
      </c>
      <c r="AN290" s="132">
        <v>0</v>
      </c>
      <c r="AO290" s="132">
        <v>0</v>
      </c>
      <c r="AP290" s="132">
        <v>0</v>
      </c>
      <c r="AQ290" s="132">
        <v>0</v>
      </c>
      <c r="AR290" s="132">
        <v>0</v>
      </c>
      <c r="AS290" s="116">
        <v>0</v>
      </c>
      <c r="AT290" s="134">
        <f t="shared" si="54"/>
        <v>0</v>
      </c>
      <c r="AU290" s="134">
        <f t="shared" si="51"/>
        <v>0</v>
      </c>
      <c r="AV290" s="142"/>
      <c r="AW290" s="132" t="s">
        <v>602</v>
      </c>
      <c r="AX290" s="132" t="s">
        <v>602</v>
      </c>
      <c r="AY290" s="132" t="s">
        <v>602</v>
      </c>
      <c r="AZ290" s="132" t="s">
        <v>602</v>
      </c>
      <c r="BA290" s="132" t="s">
        <v>602</v>
      </c>
      <c r="BB290" s="116"/>
      <c r="BC290" s="113"/>
      <c r="BD290" s="116"/>
      <c r="BE290" s="113"/>
      <c r="BF290" s="116"/>
      <c r="BG290" s="116"/>
      <c r="BH290" s="137">
        <f t="shared" si="52"/>
        <v>16700</v>
      </c>
      <c r="BI290" s="138">
        <f t="shared" si="53"/>
        <v>0</v>
      </c>
      <c r="BJ290" s="126"/>
      <c r="BK290" s="91"/>
    </row>
    <row r="291" spans="1:63" ht="15.75">
      <c r="A291" s="123">
        <v>501346</v>
      </c>
      <c r="B291" s="126">
        <v>212041</v>
      </c>
      <c r="C291" s="124" t="s">
        <v>1323</v>
      </c>
      <c r="D291" s="124" t="s">
        <v>1324</v>
      </c>
      <c r="E291" s="125" t="s">
        <v>1321</v>
      </c>
      <c r="F291" s="124" t="s">
        <v>1322</v>
      </c>
      <c r="G291" s="127" t="s">
        <v>82</v>
      </c>
      <c r="H291" s="126" t="s">
        <v>628</v>
      </c>
      <c r="I291" s="126" t="s">
        <v>598</v>
      </c>
      <c r="J291" s="126" t="s">
        <v>888</v>
      </c>
      <c r="K291" s="128" t="s">
        <v>731</v>
      </c>
      <c r="L291" s="121" t="s">
        <v>515</v>
      </c>
      <c r="M291" s="123" t="s">
        <v>744</v>
      </c>
      <c r="N291" s="129">
        <v>42614</v>
      </c>
      <c r="O291" s="129">
        <v>43830</v>
      </c>
      <c r="P291" s="129">
        <v>43830</v>
      </c>
      <c r="Q291" s="130">
        <v>210000</v>
      </c>
      <c r="R291" s="113"/>
      <c r="S291" s="132">
        <v>45000</v>
      </c>
      <c r="T291" s="132">
        <v>0</v>
      </c>
      <c r="U291" s="132">
        <v>15000</v>
      </c>
      <c r="V291" s="132"/>
      <c r="W291" s="132">
        <v>10000</v>
      </c>
      <c r="X291" s="132">
        <v>0</v>
      </c>
      <c r="Y291" s="111">
        <v>70000</v>
      </c>
      <c r="Z291" s="133">
        <f t="shared" si="56"/>
        <v>70000</v>
      </c>
      <c r="AA291" s="133">
        <f t="shared" si="57"/>
        <v>0</v>
      </c>
      <c r="AB291" s="141"/>
      <c r="AC291" s="132">
        <v>45000</v>
      </c>
      <c r="AD291" s="132">
        <v>0</v>
      </c>
      <c r="AE291" s="132">
        <v>15000</v>
      </c>
      <c r="AF291" s="132">
        <v>0</v>
      </c>
      <c r="AG291" s="132">
        <v>10000</v>
      </c>
      <c r="AH291" s="132"/>
      <c r="AI291" s="111">
        <v>70000</v>
      </c>
      <c r="AJ291" s="134">
        <f t="shared" si="55"/>
        <v>70000</v>
      </c>
      <c r="AK291" s="134">
        <f t="shared" si="50"/>
        <v>0</v>
      </c>
      <c r="AL291" s="142"/>
      <c r="AM291" s="135">
        <v>45000</v>
      </c>
      <c r="AN291" s="135" t="s">
        <v>602</v>
      </c>
      <c r="AO291" s="135">
        <v>15000</v>
      </c>
      <c r="AP291" s="135"/>
      <c r="AQ291" s="135">
        <v>10000</v>
      </c>
      <c r="AR291" s="135" t="s">
        <v>602</v>
      </c>
      <c r="AS291" s="116">
        <v>70000</v>
      </c>
      <c r="AT291" s="134">
        <f t="shared" si="54"/>
        <v>70000</v>
      </c>
      <c r="AU291" s="134">
        <f t="shared" si="51"/>
        <v>0</v>
      </c>
      <c r="AV291" s="142"/>
      <c r="AW291" s="135"/>
      <c r="AX291" s="135"/>
      <c r="AY291" s="135"/>
      <c r="AZ291" s="135"/>
      <c r="BA291" s="135"/>
      <c r="BB291" s="116"/>
      <c r="BC291" s="113"/>
      <c r="BD291" s="116"/>
      <c r="BE291" s="113"/>
      <c r="BF291" s="116"/>
      <c r="BG291" s="116"/>
      <c r="BH291" s="137">
        <f t="shared" si="52"/>
        <v>210000</v>
      </c>
      <c r="BI291" s="138">
        <f t="shared" si="53"/>
        <v>0</v>
      </c>
      <c r="BJ291" s="126"/>
      <c r="BK291" s="91"/>
    </row>
    <row r="292" spans="1:63" ht="15.75">
      <c r="A292" s="123">
        <v>499980</v>
      </c>
      <c r="B292" s="126">
        <v>212065</v>
      </c>
      <c r="C292" s="148" t="s">
        <v>1326</v>
      </c>
      <c r="D292" s="148" t="s">
        <v>1327</v>
      </c>
      <c r="E292" s="125" t="s">
        <v>1325</v>
      </c>
      <c r="F292" s="124" t="s">
        <v>88</v>
      </c>
      <c r="G292" s="127" t="s">
        <v>46</v>
      </c>
      <c r="H292" s="149" t="s">
        <v>597</v>
      </c>
      <c r="I292" s="126" t="s">
        <v>723</v>
      </c>
      <c r="J292" s="126" t="s">
        <v>874</v>
      </c>
      <c r="K292" s="128" t="s">
        <v>875</v>
      </c>
      <c r="L292" s="121" t="s">
        <v>637</v>
      </c>
      <c r="M292" s="123" t="s">
        <v>638</v>
      </c>
      <c r="N292" s="129">
        <v>43115</v>
      </c>
      <c r="O292" s="129">
        <v>42643</v>
      </c>
      <c r="P292" s="129">
        <v>42685</v>
      </c>
      <c r="Q292" s="144">
        <v>182688.47</v>
      </c>
      <c r="R292" s="132">
        <v>145000</v>
      </c>
      <c r="S292" s="132"/>
      <c r="T292" s="132">
        <v>8521.4699999999993</v>
      </c>
      <c r="U292" s="132">
        <v>0</v>
      </c>
      <c r="V292" s="132"/>
      <c r="W292" s="132">
        <v>29167</v>
      </c>
      <c r="X292" s="132">
        <v>0</v>
      </c>
      <c r="Y292" s="111">
        <v>182688.47</v>
      </c>
      <c r="Z292" s="133">
        <f t="shared" si="56"/>
        <v>182688.47</v>
      </c>
      <c r="AA292" s="133">
        <f t="shared" si="57"/>
        <v>0</v>
      </c>
      <c r="AB292" s="141"/>
      <c r="AC292" s="132" t="s">
        <v>602</v>
      </c>
      <c r="AD292" s="132" t="s">
        <v>602</v>
      </c>
      <c r="AE292" s="132" t="s">
        <v>602</v>
      </c>
      <c r="AF292" s="132" t="s">
        <v>602</v>
      </c>
      <c r="AG292" s="132" t="s">
        <v>602</v>
      </c>
      <c r="AH292" s="132"/>
      <c r="AI292" s="111">
        <v>0</v>
      </c>
      <c r="AJ292" s="134">
        <f t="shared" si="55"/>
        <v>0</v>
      </c>
      <c r="AK292" s="134">
        <f t="shared" si="50"/>
        <v>0</v>
      </c>
      <c r="AL292" s="142"/>
      <c r="AM292" s="132">
        <v>0</v>
      </c>
      <c r="AN292" s="132">
        <v>0</v>
      </c>
      <c r="AO292" s="132">
        <v>0</v>
      </c>
      <c r="AP292" s="132">
        <v>0</v>
      </c>
      <c r="AQ292" s="132">
        <v>0</v>
      </c>
      <c r="AR292" s="132">
        <v>0</v>
      </c>
      <c r="AS292" s="116">
        <v>0</v>
      </c>
      <c r="AT292" s="134">
        <f t="shared" si="54"/>
        <v>0</v>
      </c>
      <c r="AU292" s="134">
        <f t="shared" si="51"/>
        <v>0</v>
      </c>
      <c r="AV292" s="142"/>
      <c r="AW292" s="132" t="s">
        <v>602</v>
      </c>
      <c r="AX292" s="132" t="s">
        <v>602</v>
      </c>
      <c r="AY292" s="132" t="s">
        <v>602</v>
      </c>
      <c r="AZ292" s="132" t="s">
        <v>602</v>
      </c>
      <c r="BA292" s="132" t="s">
        <v>602</v>
      </c>
      <c r="BB292" s="116"/>
      <c r="BC292" s="113"/>
      <c r="BD292" s="116"/>
      <c r="BE292" s="113"/>
      <c r="BF292" s="116"/>
      <c r="BG292" s="116"/>
      <c r="BH292" s="137">
        <f t="shared" si="52"/>
        <v>182688.47</v>
      </c>
      <c r="BI292" s="138">
        <f t="shared" si="53"/>
        <v>0</v>
      </c>
      <c r="BJ292" s="165" t="s">
        <v>1328</v>
      </c>
      <c r="BK292" s="91"/>
    </row>
    <row r="293" spans="1:63" ht="15.75">
      <c r="A293" s="123">
        <v>501334</v>
      </c>
      <c r="B293" s="126">
        <v>212065</v>
      </c>
      <c r="C293" s="148" t="s">
        <v>1326</v>
      </c>
      <c r="D293" s="148" t="s">
        <v>1327</v>
      </c>
      <c r="E293" s="125" t="s">
        <v>1325</v>
      </c>
      <c r="F293" s="124" t="s">
        <v>88</v>
      </c>
      <c r="G293" s="127" t="s">
        <v>46</v>
      </c>
      <c r="H293" s="149" t="s">
        <v>628</v>
      </c>
      <c r="I293" s="126" t="s">
        <v>723</v>
      </c>
      <c r="J293" s="126" t="s">
        <v>874</v>
      </c>
      <c r="K293" s="128" t="s">
        <v>875</v>
      </c>
      <c r="L293" s="121" t="s">
        <v>515</v>
      </c>
      <c r="M293" s="143" t="s">
        <v>840</v>
      </c>
      <c r="N293" s="129">
        <v>42614</v>
      </c>
      <c r="O293" s="129">
        <v>43708</v>
      </c>
      <c r="P293" s="129">
        <v>44144</v>
      </c>
      <c r="Q293" s="144">
        <v>90000</v>
      </c>
      <c r="R293" s="150"/>
      <c r="S293" s="132">
        <v>20000</v>
      </c>
      <c r="T293" s="132">
        <v>0</v>
      </c>
      <c r="U293" s="132">
        <v>10000</v>
      </c>
      <c r="V293" s="132"/>
      <c r="W293" s="132">
        <v>0</v>
      </c>
      <c r="X293" s="132">
        <v>0</v>
      </c>
      <c r="Y293" s="111">
        <v>30000</v>
      </c>
      <c r="Z293" s="133">
        <f t="shared" si="56"/>
        <v>30000</v>
      </c>
      <c r="AA293" s="133">
        <f t="shared" si="57"/>
        <v>0</v>
      </c>
      <c r="AB293" s="141"/>
      <c r="AC293" s="132">
        <v>20000</v>
      </c>
      <c r="AD293" s="132">
        <v>0</v>
      </c>
      <c r="AE293" s="132">
        <v>10000</v>
      </c>
      <c r="AF293" s="132">
        <v>0</v>
      </c>
      <c r="AG293" s="132">
        <v>0</v>
      </c>
      <c r="AH293" s="132"/>
      <c r="AI293" s="111">
        <v>30000</v>
      </c>
      <c r="AJ293" s="134">
        <f t="shared" si="55"/>
        <v>30000</v>
      </c>
      <c r="AK293" s="134">
        <f t="shared" si="50"/>
        <v>0</v>
      </c>
      <c r="AL293" s="142"/>
      <c r="AM293" s="135">
        <v>20000</v>
      </c>
      <c r="AN293" s="135">
        <v>0</v>
      </c>
      <c r="AO293" s="135">
        <v>10000</v>
      </c>
      <c r="AP293" s="135"/>
      <c r="AQ293" s="135">
        <v>0</v>
      </c>
      <c r="AR293" s="135">
        <v>0</v>
      </c>
      <c r="AS293" s="116">
        <v>30000</v>
      </c>
      <c r="AT293" s="134">
        <f t="shared" si="54"/>
        <v>30000</v>
      </c>
      <c r="AU293" s="134">
        <f t="shared" si="51"/>
        <v>0</v>
      </c>
      <c r="AV293" s="142"/>
      <c r="AW293" s="135"/>
      <c r="AX293" s="135"/>
      <c r="AY293" s="135"/>
      <c r="AZ293" s="135"/>
      <c r="BA293" s="135"/>
      <c r="BB293" s="116"/>
      <c r="BC293" s="113"/>
      <c r="BD293" s="116"/>
      <c r="BE293" s="113"/>
      <c r="BF293" s="116"/>
      <c r="BG293" s="116"/>
      <c r="BH293" s="137">
        <f t="shared" si="52"/>
        <v>90000</v>
      </c>
      <c r="BI293" s="138">
        <f t="shared" si="53"/>
        <v>0</v>
      </c>
      <c r="BJ293" s="147"/>
      <c r="BK293" s="91"/>
    </row>
    <row r="294" spans="1:63" ht="15.75">
      <c r="A294" s="123">
        <v>501337</v>
      </c>
      <c r="B294" s="126">
        <v>212065</v>
      </c>
      <c r="C294" s="148" t="s">
        <v>1326</v>
      </c>
      <c r="D294" s="148" t="s">
        <v>1327</v>
      </c>
      <c r="E294" s="125" t="s">
        <v>1325</v>
      </c>
      <c r="F294" s="124" t="s">
        <v>88</v>
      </c>
      <c r="G294" s="127" t="s">
        <v>46</v>
      </c>
      <c r="H294" s="149" t="s">
        <v>597</v>
      </c>
      <c r="I294" s="126" t="s">
        <v>723</v>
      </c>
      <c r="J294" s="126" t="s">
        <v>874</v>
      </c>
      <c r="K294" s="128" t="s">
        <v>875</v>
      </c>
      <c r="L294" s="121" t="s">
        <v>515</v>
      </c>
      <c r="M294" s="143" t="s">
        <v>1003</v>
      </c>
      <c r="N294" s="129">
        <v>42614</v>
      </c>
      <c r="O294" s="129">
        <v>43708</v>
      </c>
      <c r="P294" s="129">
        <v>44144</v>
      </c>
      <c r="Q294" s="144">
        <v>206778</v>
      </c>
      <c r="R294" s="150"/>
      <c r="S294" s="132">
        <v>34000</v>
      </c>
      <c r="T294" s="132">
        <v>0</v>
      </c>
      <c r="U294" s="132">
        <v>24750</v>
      </c>
      <c r="V294" s="132"/>
      <c r="W294" s="132">
        <v>10176</v>
      </c>
      <c r="X294" s="132">
        <v>0</v>
      </c>
      <c r="Y294" s="111">
        <v>68926</v>
      </c>
      <c r="Z294" s="133">
        <f t="shared" si="56"/>
        <v>68926</v>
      </c>
      <c r="AA294" s="133">
        <f t="shared" si="57"/>
        <v>0</v>
      </c>
      <c r="AB294" s="141"/>
      <c r="AC294" s="132">
        <v>34000</v>
      </c>
      <c r="AD294" s="132">
        <v>0</v>
      </c>
      <c r="AE294" s="132">
        <v>24750</v>
      </c>
      <c r="AF294" s="132">
        <v>10176</v>
      </c>
      <c r="AG294" s="132">
        <v>0</v>
      </c>
      <c r="AH294" s="132"/>
      <c r="AI294" s="111">
        <v>68926</v>
      </c>
      <c r="AJ294" s="134">
        <f t="shared" si="55"/>
        <v>68926</v>
      </c>
      <c r="AK294" s="134">
        <f t="shared" si="50"/>
        <v>0</v>
      </c>
      <c r="AL294" s="142"/>
      <c r="AM294" s="135">
        <v>34000</v>
      </c>
      <c r="AN294" s="135">
        <v>0</v>
      </c>
      <c r="AO294" s="135">
        <v>24750</v>
      </c>
      <c r="AP294" s="135"/>
      <c r="AQ294" s="135">
        <v>10176</v>
      </c>
      <c r="AR294" s="135">
        <v>0</v>
      </c>
      <c r="AS294" s="116">
        <v>68926</v>
      </c>
      <c r="AT294" s="134">
        <f t="shared" si="54"/>
        <v>68926</v>
      </c>
      <c r="AU294" s="134">
        <f t="shared" si="51"/>
        <v>0</v>
      </c>
      <c r="AV294" s="142"/>
      <c r="AW294" s="135"/>
      <c r="AX294" s="135"/>
      <c r="AY294" s="135"/>
      <c r="AZ294" s="135"/>
      <c r="BA294" s="135"/>
      <c r="BB294" s="116"/>
      <c r="BC294" s="113"/>
      <c r="BD294" s="116"/>
      <c r="BE294" s="113"/>
      <c r="BF294" s="116"/>
      <c r="BG294" s="116"/>
      <c r="BH294" s="137">
        <f t="shared" si="52"/>
        <v>206778</v>
      </c>
      <c r="BI294" s="138">
        <f t="shared" si="53"/>
        <v>0</v>
      </c>
      <c r="BJ294" s="147"/>
      <c r="BK294" s="91"/>
    </row>
    <row r="295" spans="1:63" ht="15.75">
      <c r="A295" s="123">
        <v>501345</v>
      </c>
      <c r="B295" s="126">
        <v>212065</v>
      </c>
      <c r="C295" s="124" t="s">
        <v>1326</v>
      </c>
      <c r="D295" s="124" t="s">
        <v>1327</v>
      </c>
      <c r="E295" s="125" t="s">
        <v>1325</v>
      </c>
      <c r="F295" s="124" t="s">
        <v>88</v>
      </c>
      <c r="G295" s="127" t="s">
        <v>46</v>
      </c>
      <c r="H295" s="126" t="s">
        <v>628</v>
      </c>
      <c r="I295" s="126" t="s">
        <v>723</v>
      </c>
      <c r="J295" s="126" t="s">
        <v>874</v>
      </c>
      <c r="K295" s="128" t="s">
        <v>875</v>
      </c>
      <c r="L295" s="121" t="s">
        <v>515</v>
      </c>
      <c r="M295" s="123" t="s">
        <v>714</v>
      </c>
      <c r="N295" s="129">
        <v>42614</v>
      </c>
      <c r="O295" s="129">
        <v>43890</v>
      </c>
      <c r="P295" s="129">
        <v>44145</v>
      </c>
      <c r="Q295" s="130">
        <v>281916</v>
      </c>
      <c r="R295" s="113"/>
      <c r="S295" s="132">
        <v>45000</v>
      </c>
      <c r="T295" s="132">
        <v>0</v>
      </c>
      <c r="U295" s="132">
        <v>39500</v>
      </c>
      <c r="V295" s="132"/>
      <c r="W295" s="132">
        <v>5472</v>
      </c>
      <c r="X295" s="132">
        <v>0</v>
      </c>
      <c r="Y295" s="111">
        <v>89972</v>
      </c>
      <c r="Z295" s="133">
        <f t="shared" si="56"/>
        <v>89972</v>
      </c>
      <c r="AA295" s="133">
        <f t="shared" si="57"/>
        <v>0</v>
      </c>
      <c r="AB295" s="141"/>
      <c r="AC295" s="132">
        <v>45000</v>
      </c>
      <c r="AD295" s="132">
        <v>0</v>
      </c>
      <c r="AE295" s="132">
        <v>41000</v>
      </c>
      <c r="AF295" s="132">
        <v>5472</v>
      </c>
      <c r="AG295" s="132">
        <v>0</v>
      </c>
      <c r="AH295" s="132"/>
      <c r="AI295" s="111">
        <v>91472</v>
      </c>
      <c r="AJ295" s="134">
        <f t="shared" si="55"/>
        <v>91472</v>
      </c>
      <c r="AK295" s="134">
        <f t="shared" si="50"/>
        <v>0</v>
      </c>
      <c r="AL295" s="142"/>
      <c r="AM295" s="135">
        <v>45000</v>
      </c>
      <c r="AN295" s="135">
        <v>0</v>
      </c>
      <c r="AO295" s="135">
        <v>50000</v>
      </c>
      <c r="AP295" s="135"/>
      <c r="AQ295" s="135">
        <v>5472</v>
      </c>
      <c r="AR295" s="135">
        <v>0</v>
      </c>
      <c r="AS295" s="116">
        <v>100472</v>
      </c>
      <c r="AT295" s="134">
        <f t="shared" si="54"/>
        <v>100472</v>
      </c>
      <c r="AU295" s="134">
        <f t="shared" si="51"/>
        <v>0</v>
      </c>
      <c r="AV295" s="142"/>
      <c r="AW295" s="135"/>
      <c r="AX295" s="135"/>
      <c r="AY295" s="135"/>
      <c r="AZ295" s="135"/>
      <c r="BA295" s="135"/>
      <c r="BB295" s="116"/>
      <c r="BC295" s="113"/>
      <c r="BD295" s="116"/>
      <c r="BE295" s="113"/>
      <c r="BF295" s="116"/>
      <c r="BG295" s="116"/>
      <c r="BH295" s="137">
        <f t="shared" si="52"/>
        <v>281916</v>
      </c>
      <c r="BI295" s="138">
        <f t="shared" si="53"/>
        <v>0</v>
      </c>
      <c r="BJ295" s="126"/>
      <c r="BK295" s="91"/>
    </row>
    <row r="296" spans="1:63" ht="15.75">
      <c r="A296" s="123">
        <v>507639</v>
      </c>
      <c r="B296" s="126">
        <v>212065</v>
      </c>
      <c r="C296" s="124" t="s">
        <v>1326</v>
      </c>
      <c r="D296" s="124" t="s">
        <v>1327</v>
      </c>
      <c r="E296" s="124" t="s">
        <v>1325</v>
      </c>
      <c r="F296" s="124" t="s">
        <v>88</v>
      </c>
      <c r="G296" s="127" t="s">
        <v>46</v>
      </c>
      <c r="H296" s="126" t="s">
        <v>597</v>
      </c>
      <c r="I296" s="126" t="s">
        <v>723</v>
      </c>
      <c r="J296" s="126" t="s">
        <v>874</v>
      </c>
      <c r="K296" s="128" t="s">
        <v>875</v>
      </c>
      <c r="L296" s="121" t="s">
        <v>519</v>
      </c>
      <c r="M296" s="123" t="s">
        <v>847</v>
      </c>
      <c r="N296" s="129">
        <v>43709</v>
      </c>
      <c r="O296" s="129">
        <v>44530</v>
      </c>
      <c r="P296" s="129">
        <v>44530</v>
      </c>
      <c r="Q296" s="130">
        <f>240000+10000+275000</f>
        <v>525000</v>
      </c>
      <c r="R296" s="113"/>
      <c r="S296" s="132">
        <f>140900+10000</f>
        <v>150900</v>
      </c>
      <c r="T296" s="132"/>
      <c r="U296" s="132">
        <v>88000</v>
      </c>
      <c r="V296" s="132"/>
      <c r="W296" s="132">
        <v>11100</v>
      </c>
      <c r="X296" s="132"/>
      <c r="Y296" s="111">
        <v>250000</v>
      </c>
      <c r="Z296" s="133">
        <f t="shared" si="56"/>
        <v>250000</v>
      </c>
      <c r="AA296" s="133">
        <f t="shared" si="57"/>
        <v>0</v>
      </c>
      <c r="AB296" s="141"/>
      <c r="AC296" s="132">
        <v>120900</v>
      </c>
      <c r="AD296" s="132"/>
      <c r="AE296" s="132">
        <v>103000</v>
      </c>
      <c r="AF296" s="132"/>
      <c r="AG296" s="132">
        <v>26100</v>
      </c>
      <c r="AH296" s="132">
        <v>25000</v>
      </c>
      <c r="AI296" s="111">
        <v>275000</v>
      </c>
      <c r="AJ296" s="134">
        <f t="shared" si="55"/>
        <v>275000</v>
      </c>
      <c r="AK296" s="134">
        <f t="shared" si="50"/>
        <v>0</v>
      </c>
      <c r="AL296" s="142"/>
      <c r="AM296" s="132">
        <f>140900-5000</f>
        <v>135900</v>
      </c>
      <c r="AN296" s="132"/>
      <c r="AO296" s="132">
        <v>88000</v>
      </c>
      <c r="AP296" s="132"/>
      <c r="AQ296" s="132">
        <v>26100</v>
      </c>
      <c r="AR296" s="135">
        <v>25000</v>
      </c>
      <c r="AS296" s="116">
        <f>SUM(AM296:AR296)</f>
        <v>275000</v>
      </c>
      <c r="AT296" s="134">
        <f t="shared" ref="AT296:AT327" si="58">SUM(AL296:AR296)</f>
        <v>275000</v>
      </c>
      <c r="AU296" s="134">
        <f t="shared" si="51"/>
        <v>0</v>
      </c>
      <c r="AV296" s="142"/>
      <c r="AW296" s="135"/>
      <c r="AX296" s="135"/>
      <c r="AY296" s="135"/>
      <c r="AZ296" s="135"/>
      <c r="BA296" s="135"/>
      <c r="BB296" s="116"/>
      <c r="BC296" s="113"/>
      <c r="BD296" s="116"/>
      <c r="BE296" s="113"/>
      <c r="BF296" s="116"/>
      <c r="BG296" s="116"/>
      <c r="BH296" s="137">
        <f t="shared" si="52"/>
        <v>800000</v>
      </c>
      <c r="BI296" s="138">
        <f t="shared" si="53"/>
        <v>275000</v>
      </c>
      <c r="BJ296" s="126"/>
      <c r="BK296" s="91"/>
    </row>
    <row r="297" spans="1:63" ht="15.75">
      <c r="A297" s="123">
        <v>501348</v>
      </c>
      <c r="B297" s="126">
        <v>212183</v>
      </c>
      <c r="C297" s="121" t="s">
        <v>1330</v>
      </c>
      <c r="D297" s="121" t="s">
        <v>1331</v>
      </c>
      <c r="E297" s="125" t="s">
        <v>1329</v>
      </c>
      <c r="F297" s="124" t="s">
        <v>94</v>
      </c>
      <c r="G297" s="127" t="s">
        <v>68</v>
      </c>
      <c r="H297" s="123" t="s">
        <v>628</v>
      </c>
      <c r="I297" s="126" t="s">
        <v>598</v>
      </c>
      <c r="J297" s="126" t="s">
        <v>683</v>
      </c>
      <c r="K297" s="128" t="s">
        <v>684</v>
      </c>
      <c r="L297" s="121" t="s">
        <v>515</v>
      </c>
      <c r="M297" s="143" t="s">
        <v>934</v>
      </c>
      <c r="N297" s="129">
        <v>42614</v>
      </c>
      <c r="O297" s="129">
        <v>44286</v>
      </c>
      <c r="P297" s="129">
        <v>44286</v>
      </c>
      <c r="Q297" s="144">
        <v>241000</v>
      </c>
      <c r="R297" s="150"/>
      <c r="S297" s="132">
        <v>55000</v>
      </c>
      <c r="T297" s="132">
        <v>0</v>
      </c>
      <c r="U297" s="132">
        <v>17000</v>
      </c>
      <c r="V297" s="132"/>
      <c r="W297" s="132">
        <v>0</v>
      </c>
      <c r="X297" s="132">
        <v>0</v>
      </c>
      <c r="Y297" s="111">
        <v>72000</v>
      </c>
      <c r="Z297" s="133">
        <f t="shared" si="56"/>
        <v>72000</v>
      </c>
      <c r="AA297" s="133">
        <f t="shared" si="57"/>
        <v>0</v>
      </c>
      <c r="AB297" s="141"/>
      <c r="AC297" s="132">
        <v>55000</v>
      </c>
      <c r="AD297" s="132">
        <v>0</v>
      </c>
      <c r="AE297" s="132">
        <v>17000</v>
      </c>
      <c r="AF297" s="132">
        <v>0</v>
      </c>
      <c r="AG297" s="132">
        <v>0</v>
      </c>
      <c r="AH297" s="132"/>
      <c r="AI297" s="111">
        <v>72000</v>
      </c>
      <c r="AJ297" s="134">
        <f t="shared" si="55"/>
        <v>72000</v>
      </c>
      <c r="AK297" s="134">
        <f t="shared" si="50"/>
        <v>0</v>
      </c>
      <c r="AL297" s="142"/>
      <c r="AM297" s="135">
        <v>75000</v>
      </c>
      <c r="AN297" s="135">
        <v>5000</v>
      </c>
      <c r="AO297" s="135">
        <v>17000</v>
      </c>
      <c r="AP297" s="135"/>
      <c r="AQ297" s="135">
        <v>0</v>
      </c>
      <c r="AR297" s="135">
        <v>0</v>
      </c>
      <c r="AS297" s="116">
        <v>97000</v>
      </c>
      <c r="AT297" s="134">
        <f t="shared" si="58"/>
        <v>97000</v>
      </c>
      <c r="AU297" s="134">
        <f t="shared" si="51"/>
        <v>0</v>
      </c>
      <c r="AV297" s="142"/>
      <c r="AW297" s="135"/>
      <c r="AX297" s="135"/>
      <c r="AY297" s="135"/>
      <c r="AZ297" s="135"/>
      <c r="BA297" s="135"/>
      <c r="BB297" s="116"/>
      <c r="BC297" s="113"/>
      <c r="BD297" s="116"/>
      <c r="BE297" s="113"/>
      <c r="BF297" s="116"/>
      <c r="BG297" s="116"/>
      <c r="BH297" s="137">
        <f t="shared" si="52"/>
        <v>241000</v>
      </c>
      <c r="BI297" s="138">
        <f t="shared" si="53"/>
        <v>0</v>
      </c>
      <c r="BJ297" s="147" t="s">
        <v>1332</v>
      </c>
      <c r="BK297" s="91"/>
    </row>
    <row r="298" spans="1:63" ht="15.75">
      <c r="A298" s="123">
        <v>506458</v>
      </c>
      <c r="B298" s="126">
        <v>212183</v>
      </c>
      <c r="C298" s="123" t="s">
        <v>1330</v>
      </c>
      <c r="D298" s="121" t="s">
        <v>1331</v>
      </c>
      <c r="E298" s="125" t="s">
        <v>1329</v>
      </c>
      <c r="F298" s="124" t="s">
        <v>94</v>
      </c>
      <c r="G298" s="127" t="s">
        <v>68</v>
      </c>
      <c r="H298" s="126" t="s">
        <v>597</v>
      </c>
      <c r="I298" s="126" t="s">
        <v>598</v>
      </c>
      <c r="J298" s="126" t="s">
        <v>683</v>
      </c>
      <c r="K298" s="128" t="s">
        <v>684</v>
      </c>
      <c r="L298" s="121" t="s">
        <v>19</v>
      </c>
      <c r="M298" s="126" t="s">
        <v>820</v>
      </c>
      <c r="N298" s="129">
        <v>43556</v>
      </c>
      <c r="O298" s="129">
        <v>44377</v>
      </c>
      <c r="P298" s="129">
        <v>44377</v>
      </c>
      <c r="Q298" s="144">
        <f>71385*2</f>
        <v>142770</v>
      </c>
      <c r="R298" s="150"/>
      <c r="S298" s="132">
        <v>34200</v>
      </c>
      <c r="T298" s="132">
        <v>0</v>
      </c>
      <c r="U298" s="132">
        <v>0</v>
      </c>
      <c r="V298" s="132">
        <v>0</v>
      </c>
      <c r="W298" s="132">
        <v>37185</v>
      </c>
      <c r="X298" s="132">
        <v>0</v>
      </c>
      <c r="Y298" s="111">
        <v>71385</v>
      </c>
      <c r="Z298" s="133">
        <f t="shared" si="56"/>
        <v>71385</v>
      </c>
      <c r="AA298" s="133">
        <f t="shared" si="57"/>
        <v>0</v>
      </c>
      <c r="AB298" s="141"/>
      <c r="AC298" s="132">
        <v>34200</v>
      </c>
      <c r="AD298" s="132">
        <v>0</v>
      </c>
      <c r="AE298" s="132">
        <v>0</v>
      </c>
      <c r="AF298" s="132">
        <v>0</v>
      </c>
      <c r="AG298" s="132">
        <v>37185</v>
      </c>
      <c r="AH298" s="132">
        <v>0</v>
      </c>
      <c r="AI298" s="111">
        <v>71385</v>
      </c>
      <c r="AJ298" s="134">
        <f t="shared" si="55"/>
        <v>71385</v>
      </c>
      <c r="AK298" s="134">
        <f t="shared" si="50"/>
        <v>0</v>
      </c>
      <c r="AL298" s="145"/>
      <c r="AM298" s="132">
        <v>0</v>
      </c>
      <c r="AN298" s="132">
        <v>0</v>
      </c>
      <c r="AO298" s="132">
        <v>0</v>
      </c>
      <c r="AP298" s="132">
        <v>0</v>
      </c>
      <c r="AQ298" s="132">
        <v>0</v>
      </c>
      <c r="AR298" s="132">
        <v>0</v>
      </c>
      <c r="AS298" s="116"/>
      <c r="AT298" s="134">
        <f t="shared" si="58"/>
        <v>0</v>
      </c>
      <c r="AU298" s="134">
        <f t="shared" si="51"/>
        <v>0</v>
      </c>
      <c r="AV298" s="121"/>
      <c r="AW298" s="153"/>
      <c r="AX298" s="153"/>
      <c r="AY298" s="153"/>
      <c r="AZ298" s="153"/>
      <c r="BA298" s="153"/>
      <c r="BB298" s="154"/>
      <c r="BC298" s="99"/>
      <c r="BD298" s="154"/>
      <c r="BE298" s="99"/>
      <c r="BF298" s="154"/>
      <c r="BG298" s="154"/>
      <c r="BH298" s="137">
        <f t="shared" si="52"/>
        <v>142770</v>
      </c>
      <c r="BI298" s="138">
        <f t="shared" si="53"/>
        <v>0</v>
      </c>
      <c r="BJ298" s="155" t="s">
        <v>821</v>
      </c>
      <c r="BK298" s="91"/>
    </row>
    <row r="299" spans="1:63" ht="15.75">
      <c r="A299" s="180">
        <v>509589</v>
      </c>
      <c r="B299" s="126">
        <v>212183</v>
      </c>
      <c r="C299" s="123" t="s">
        <v>1330</v>
      </c>
      <c r="D299" s="121" t="s">
        <v>1331</v>
      </c>
      <c r="E299" s="125" t="s">
        <v>1329</v>
      </c>
      <c r="F299" s="124" t="s">
        <v>94</v>
      </c>
      <c r="G299" s="127" t="s">
        <v>68</v>
      </c>
      <c r="H299" s="126" t="s">
        <v>597</v>
      </c>
      <c r="I299" s="126" t="s">
        <v>598</v>
      </c>
      <c r="J299" s="126" t="s">
        <v>683</v>
      </c>
      <c r="K299" s="128" t="s">
        <v>684</v>
      </c>
      <c r="L299" s="121" t="s">
        <v>517</v>
      </c>
      <c r="M299" s="126" t="s">
        <v>1333</v>
      </c>
      <c r="N299" s="129">
        <v>44075</v>
      </c>
      <c r="O299" s="129">
        <v>44804</v>
      </c>
      <c r="P299" s="129">
        <v>44804</v>
      </c>
      <c r="Q299" s="144">
        <v>75000</v>
      </c>
      <c r="R299" s="150"/>
      <c r="S299" s="132">
        <v>75000</v>
      </c>
      <c r="T299" s="132"/>
      <c r="U299" s="132"/>
      <c r="V299" s="132"/>
      <c r="W299" s="132"/>
      <c r="X299" s="132"/>
      <c r="Y299" s="111">
        <f>SUM(S299:X299)</f>
        <v>75000</v>
      </c>
      <c r="Z299" s="133">
        <f t="shared" si="56"/>
        <v>75000</v>
      </c>
      <c r="AA299" s="133">
        <f t="shared" si="57"/>
        <v>0</v>
      </c>
      <c r="AB299" s="141"/>
      <c r="AC299" s="132">
        <v>75000</v>
      </c>
      <c r="AD299" s="132"/>
      <c r="AE299" s="132"/>
      <c r="AF299" s="132"/>
      <c r="AG299" s="132"/>
      <c r="AH299" s="132"/>
      <c r="AI299" s="111">
        <v>75000</v>
      </c>
      <c r="AJ299" s="134">
        <f t="shared" si="55"/>
        <v>75000</v>
      </c>
      <c r="AK299" s="134">
        <f t="shared" si="50"/>
        <v>0</v>
      </c>
      <c r="AL299" s="145"/>
      <c r="AM299" s="132">
        <v>0</v>
      </c>
      <c r="AN299" s="132">
        <v>0</v>
      </c>
      <c r="AO299" s="132">
        <v>0</v>
      </c>
      <c r="AP299" s="132">
        <v>0</v>
      </c>
      <c r="AQ299" s="132">
        <v>0</v>
      </c>
      <c r="AR299" s="132">
        <v>0</v>
      </c>
      <c r="AS299" s="116"/>
      <c r="AT299" s="134">
        <f t="shared" si="58"/>
        <v>0</v>
      </c>
      <c r="AU299" s="134">
        <f t="shared" si="51"/>
        <v>0</v>
      </c>
      <c r="AV299" s="121"/>
      <c r="AW299" s="153"/>
      <c r="AX299" s="153"/>
      <c r="AY299" s="153"/>
      <c r="AZ299" s="153"/>
      <c r="BA299" s="153"/>
      <c r="BB299" s="154"/>
      <c r="BC299" s="99"/>
      <c r="BD299" s="154"/>
      <c r="BE299" s="99"/>
      <c r="BF299" s="154"/>
      <c r="BG299" s="154"/>
      <c r="BH299" s="137">
        <f t="shared" si="52"/>
        <v>150000</v>
      </c>
      <c r="BI299" s="138">
        <f t="shared" si="53"/>
        <v>75000</v>
      </c>
      <c r="BJ299" s="155"/>
      <c r="BK299" s="91"/>
    </row>
    <row r="300" spans="1:63" ht="15.75">
      <c r="A300" s="123">
        <v>501333</v>
      </c>
      <c r="B300" s="126">
        <v>212211</v>
      </c>
      <c r="C300" s="124" t="s">
        <v>1336</v>
      </c>
      <c r="D300" s="124" t="s">
        <v>608</v>
      </c>
      <c r="E300" s="125" t="s">
        <v>1334</v>
      </c>
      <c r="F300" s="124" t="s">
        <v>1335</v>
      </c>
      <c r="G300" s="127" t="s">
        <v>68</v>
      </c>
      <c r="H300" s="126" t="s">
        <v>628</v>
      </c>
      <c r="I300" s="126" t="s">
        <v>598</v>
      </c>
      <c r="J300" s="126" t="s">
        <v>888</v>
      </c>
      <c r="K300" s="128" t="s">
        <v>731</v>
      </c>
      <c r="L300" s="121" t="s">
        <v>515</v>
      </c>
      <c r="M300" s="123" t="s">
        <v>797</v>
      </c>
      <c r="N300" s="129">
        <v>42614</v>
      </c>
      <c r="O300" s="129">
        <v>43830</v>
      </c>
      <c r="P300" s="129">
        <v>44144</v>
      </c>
      <c r="Q300" s="130">
        <v>120000</v>
      </c>
      <c r="R300" s="113"/>
      <c r="S300" s="132">
        <v>0</v>
      </c>
      <c r="T300" s="132">
        <v>0</v>
      </c>
      <c r="U300" s="132">
        <v>40000</v>
      </c>
      <c r="V300" s="132"/>
      <c r="W300" s="132">
        <v>0</v>
      </c>
      <c r="X300" s="132">
        <v>0</v>
      </c>
      <c r="Y300" s="111">
        <v>40000</v>
      </c>
      <c r="Z300" s="133">
        <f t="shared" si="56"/>
        <v>40000</v>
      </c>
      <c r="AA300" s="133">
        <f t="shared" si="57"/>
        <v>0</v>
      </c>
      <c r="AB300" s="141"/>
      <c r="AC300" s="132">
        <v>27000</v>
      </c>
      <c r="AD300" s="132">
        <v>0</v>
      </c>
      <c r="AE300" s="132">
        <v>13000</v>
      </c>
      <c r="AF300" s="132">
        <v>0</v>
      </c>
      <c r="AG300" s="132">
        <v>0</v>
      </c>
      <c r="AH300" s="132"/>
      <c r="AI300" s="111">
        <v>40000</v>
      </c>
      <c r="AJ300" s="134">
        <f t="shared" si="55"/>
        <v>40000</v>
      </c>
      <c r="AK300" s="134">
        <f t="shared" si="50"/>
        <v>0</v>
      </c>
      <c r="AL300" s="142"/>
      <c r="AM300" s="135">
        <v>27000</v>
      </c>
      <c r="AN300" s="135">
        <v>0</v>
      </c>
      <c r="AO300" s="135">
        <v>13000</v>
      </c>
      <c r="AP300" s="135"/>
      <c r="AQ300" s="135">
        <v>0</v>
      </c>
      <c r="AR300" s="135">
        <v>0</v>
      </c>
      <c r="AS300" s="116">
        <v>40000</v>
      </c>
      <c r="AT300" s="134">
        <f t="shared" si="58"/>
        <v>40000</v>
      </c>
      <c r="AU300" s="134">
        <f t="shared" si="51"/>
        <v>0</v>
      </c>
      <c r="AV300" s="142"/>
      <c r="AW300" s="135"/>
      <c r="AX300" s="135"/>
      <c r="AY300" s="135"/>
      <c r="AZ300" s="135"/>
      <c r="BA300" s="135"/>
      <c r="BB300" s="116"/>
      <c r="BC300" s="113"/>
      <c r="BD300" s="116"/>
      <c r="BE300" s="113"/>
      <c r="BF300" s="116"/>
      <c r="BG300" s="116"/>
      <c r="BH300" s="137">
        <f t="shared" si="52"/>
        <v>120000</v>
      </c>
      <c r="BI300" s="138">
        <f t="shared" si="53"/>
        <v>0</v>
      </c>
      <c r="BJ300" s="126"/>
      <c r="BK300" s="91"/>
    </row>
    <row r="301" spans="1:63" ht="15.75">
      <c r="A301" s="123">
        <v>501335</v>
      </c>
      <c r="B301" s="126">
        <v>212211</v>
      </c>
      <c r="C301" s="124" t="s">
        <v>1336</v>
      </c>
      <c r="D301" s="124" t="s">
        <v>608</v>
      </c>
      <c r="E301" s="125" t="s">
        <v>1334</v>
      </c>
      <c r="F301" s="124" t="s">
        <v>1335</v>
      </c>
      <c r="G301" s="127" t="s">
        <v>68</v>
      </c>
      <c r="H301" s="126" t="s">
        <v>628</v>
      </c>
      <c r="I301" s="126" t="s">
        <v>598</v>
      </c>
      <c r="J301" s="126" t="s">
        <v>888</v>
      </c>
      <c r="K301" s="128" t="s">
        <v>731</v>
      </c>
      <c r="L301" s="121" t="s">
        <v>515</v>
      </c>
      <c r="M301" s="123" t="s">
        <v>994</v>
      </c>
      <c r="N301" s="129">
        <v>42614</v>
      </c>
      <c r="O301" s="129">
        <v>43708</v>
      </c>
      <c r="P301" s="129">
        <v>43798</v>
      </c>
      <c r="Q301" s="130">
        <v>106184</v>
      </c>
      <c r="R301" s="113"/>
      <c r="S301" s="132">
        <v>10000</v>
      </c>
      <c r="T301" s="132">
        <v>0</v>
      </c>
      <c r="U301" s="132">
        <v>13000</v>
      </c>
      <c r="V301" s="132"/>
      <c r="W301" s="132">
        <v>12395</v>
      </c>
      <c r="X301" s="132">
        <v>0</v>
      </c>
      <c r="Y301" s="111">
        <v>35395</v>
      </c>
      <c r="Z301" s="133">
        <f t="shared" si="56"/>
        <v>35395</v>
      </c>
      <c r="AA301" s="133">
        <f t="shared" si="57"/>
        <v>0</v>
      </c>
      <c r="AB301" s="141"/>
      <c r="AC301" s="132">
        <v>10000</v>
      </c>
      <c r="AD301" s="132">
        <v>0</v>
      </c>
      <c r="AE301" s="132">
        <v>13000</v>
      </c>
      <c r="AF301" s="132">
        <v>12395</v>
      </c>
      <c r="AG301" s="132">
        <v>0</v>
      </c>
      <c r="AH301" s="132"/>
      <c r="AI301" s="111">
        <v>35395</v>
      </c>
      <c r="AJ301" s="134">
        <f t="shared" si="55"/>
        <v>35395</v>
      </c>
      <c r="AK301" s="134">
        <f t="shared" si="50"/>
        <v>0</v>
      </c>
      <c r="AL301" s="142"/>
      <c r="AM301" s="135">
        <v>10000</v>
      </c>
      <c r="AN301" s="135">
        <v>0</v>
      </c>
      <c r="AO301" s="135">
        <v>13000</v>
      </c>
      <c r="AP301" s="135"/>
      <c r="AQ301" s="135">
        <v>12394</v>
      </c>
      <c r="AR301" s="135">
        <v>0</v>
      </c>
      <c r="AS301" s="116">
        <v>35394</v>
      </c>
      <c r="AT301" s="134">
        <f t="shared" si="58"/>
        <v>35394</v>
      </c>
      <c r="AU301" s="134">
        <f t="shared" si="51"/>
        <v>0</v>
      </c>
      <c r="AV301" s="142"/>
      <c r="AW301" s="135"/>
      <c r="AX301" s="135"/>
      <c r="AY301" s="135"/>
      <c r="AZ301" s="135"/>
      <c r="BA301" s="135"/>
      <c r="BB301" s="116"/>
      <c r="BC301" s="113"/>
      <c r="BD301" s="116"/>
      <c r="BE301" s="113"/>
      <c r="BF301" s="116"/>
      <c r="BG301" s="116"/>
      <c r="BH301" s="137">
        <f t="shared" si="52"/>
        <v>106184</v>
      </c>
      <c r="BI301" s="138">
        <f t="shared" si="53"/>
        <v>0</v>
      </c>
      <c r="BJ301" s="126"/>
      <c r="BK301" s="91"/>
    </row>
    <row r="302" spans="1:63" ht="15.75">
      <c r="A302" s="123">
        <v>501346</v>
      </c>
      <c r="B302" s="126">
        <v>212317</v>
      </c>
      <c r="C302" s="124" t="s">
        <v>1339</v>
      </c>
      <c r="D302" s="124" t="s">
        <v>1340</v>
      </c>
      <c r="E302" s="125" t="s">
        <v>1337</v>
      </c>
      <c r="F302" s="124" t="s">
        <v>1338</v>
      </c>
      <c r="G302" s="127" t="s">
        <v>82</v>
      </c>
      <c r="H302" s="126" t="s">
        <v>628</v>
      </c>
      <c r="I302" s="126" t="s">
        <v>598</v>
      </c>
      <c r="J302" s="126" t="s">
        <v>888</v>
      </c>
      <c r="K302" s="128" t="s">
        <v>731</v>
      </c>
      <c r="L302" s="121" t="s">
        <v>515</v>
      </c>
      <c r="M302" s="123" t="s">
        <v>744</v>
      </c>
      <c r="N302" s="129">
        <v>42614</v>
      </c>
      <c r="O302" s="129">
        <v>43830</v>
      </c>
      <c r="P302" s="129">
        <v>43830</v>
      </c>
      <c r="Q302" s="130">
        <v>208500</v>
      </c>
      <c r="R302" s="113"/>
      <c r="S302" s="132">
        <v>45000</v>
      </c>
      <c r="T302" s="132">
        <v>0</v>
      </c>
      <c r="U302" s="132">
        <v>15000</v>
      </c>
      <c r="V302" s="132"/>
      <c r="W302" s="132">
        <v>9500</v>
      </c>
      <c r="X302" s="132"/>
      <c r="Y302" s="111">
        <v>69500</v>
      </c>
      <c r="Z302" s="133">
        <f t="shared" si="56"/>
        <v>69500</v>
      </c>
      <c r="AA302" s="133">
        <f t="shared" si="57"/>
        <v>0</v>
      </c>
      <c r="AB302" s="141"/>
      <c r="AC302" s="132">
        <v>45000</v>
      </c>
      <c r="AD302" s="132">
        <v>0</v>
      </c>
      <c r="AE302" s="132">
        <v>15000</v>
      </c>
      <c r="AF302" s="132"/>
      <c r="AG302" s="132">
        <v>9500</v>
      </c>
      <c r="AH302" s="132"/>
      <c r="AI302" s="111">
        <v>69500</v>
      </c>
      <c r="AJ302" s="134">
        <f t="shared" si="55"/>
        <v>69500</v>
      </c>
      <c r="AK302" s="134">
        <f t="shared" si="50"/>
        <v>0</v>
      </c>
      <c r="AL302" s="142"/>
      <c r="AM302" s="135">
        <v>45000</v>
      </c>
      <c r="AN302" s="135">
        <v>0</v>
      </c>
      <c r="AO302" s="135">
        <v>15000</v>
      </c>
      <c r="AP302" s="135">
        <v>0</v>
      </c>
      <c r="AQ302" s="135">
        <v>9500</v>
      </c>
      <c r="AR302" s="135" t="s">
        <v>602</v>
      </c>
      <c r="AS302" s="116">
        <v>69500</v>
      </c>
      <c r="AT302" s="134">
        <f t="shared" si="58"/>
        <v>69500</v>
      </c>
      <c r="AU302" s="134">
        <f t="shared" si="51"/>
        <v>0</v>
      </c>
      <c r="AV302" s="142"/>
      <c r="AW302" s="135"/>
      <c r="AX302" s="135"/>
      <c r="AY302" s="135"/>
      <c r="AZ302" s="135"/>
      <c r="BA302" s="135"/>
      <c r="BB302" s="116"/>
      <c r="BC302" s="113"/>
      <c r="BD302" s="116"/>
      <c r="BE302" s="113"/>
      <c r="BF302" s="116"/>
      <c r="BG302" s="116"/>
      <c r="BH302" s="137">
        <f t="shared" si="52"/>
        <v>208500</v>
      </c>
      <c r="BI302" s="138">
        <f t="shared" si="53"/>
        <v>0</v>
      </c>
      <c r="BJ302" s="126"/>
      <c r="BK302" s="91"/>
    </row>
    <row r="303" spans="1:63" ht="15.75">
      <c r="A303" s="123">
        <v>501348</v>
      </c>
      <c r="B303" s="126">
        <v>212343</v>
      </c>
      <c r="C303" s="124" t="s">
        <v>1342</v>
      </c>
      <c r="D303" s="124" t="s">
        <v>1343</v>
      </c>
      <c r="E303" s="125" t="s">
        <v>1341</v>
      </c>
      <c r="F303" s="124" t="s">
        <v>323</v>
      </c>
      <c r="G303" s="127" t="s">
        <v>82</v>
      </c>
      <c r="H303" s="126" t="s">
        <v>628</v>
      </c>
      <c r="I303" s="126" t="s">
        <v>598</v>
      </c>
      <c r="J303" s="126" t="s">
        <v>888</v>
      </c>
      <c r="K303" s="128" t="s">
        <v>731</v>
      </c>
      <c r="L303" s="121" t="s">
        <v>515</v>
      </c>
      <c r="M303" s="123" t="s">
        <v>934</v>
      </c>
      <c r="N303" s="129">
        <v>42614</v>
      </c>
      <c r="O303" s="129">
        <v>44286</v>
      </c>
      <c r="P303" s="129">
        <v>44286</v>
      </c>
      <c r="Q303" s="130">
        <v>444000</v>
      </c>
      <c r="R303" s="113"/>
      <c r="S303" s="132">
        <v>120000</v>
      </c>
      <c r="T303" s="132">
        <v>0</v>
      </c>
      <c r="U303" s="132">
        <v>28000</v>
      </c>
      <c r="V303" s="132"/>
      <c r="W303" s="132">
        <v>0</v>
      </c>
      <c r="X303" s="132">
        <v>0</v>
      </c>
      <c r="Y303" s="111">
        <v>148000</v>
      </c>
      <c r="Z303" s="133">
        <f t="shared" si="56"/>
        <v>148000</v>
      </c>
      <c r="AA303" s="133">
        <f t="shared" si="57"/>
        <v>0</v>
      </c>
      <c r="AB303" s="141"/>
      <c r="AC303" s="132">
        <v>120000</v>
      </c>
      <c r="AD303" s="132">
        <v>0</v>
      </c>
      <c r="AE303" s="132">
        <v>28000</v>
      </c>
      <c r="AF303" s="132">
        <v>0</v>
      </c>
      <c r="AG303" s="132">
        <v>0</v>
      </c>
      <c r="AH303" s="132"/>
      <c r="AI303" s="111">
        <v>148000</v>
      </c>
      <c r="AJ303" s="134">
        <f t="shared" si="55"/>
        <v>148000</v>
      </c>
      <c r="AK303" s="134">
        <f t="shared" si="50"/>
        <v>0</v>
      </c>
      <c r="AL303" s="142"/>
      <c r="AM303" s="135">
        <v>120000</v>
      </c>
      <c r="AN303" s="135">
        <v>0</v>
      </c>
      <c r="AO303" s="135">
        <v>28000</v>
      </c>
      <c r="AP303" s="135"/>
      <c r="AQ303" s="135">
        <v>0</v>
      </c>
      <c r="AR303" s="135">
        <v>0</v>
      </c>
      <c r="AS303" s="116">
        <v>148000</v>
      </c>
      <c r="AT303" s="134">
        <f t="shared" si="58"/>
        <v>148000</v>
      </c>
      <c r="AU303" s="134">
        <f t="shared" si="51"/>
        <v>0</v>
      </c>
      <c r="AV303" s="142"/>
      <c r="AW303" s="135"/>
      <c r="AX303" s="135"/>
      <c r="AY303" s="135"/>
      <c r="AZ303" s="135"/>
      <c r="BA303" s="135"/>
      <c r="BB303" s="116"/>
      <c r="BC303" s="113"/>
      <c r="BD303" s="116"/>
      <c r="BE303" s="113"/>
      <c r="BF303" s="116"/>
      <c r="BG303" s="116"/>
      <c r="BH303" s="137">
        <f t="shared" si="52"/>
        <v>444000</v>
      </c>
      <c r="BI303" s="138">
        <f t="shared" si="53"/>
        <v>0</v>
      </c>
      <c r="BJ303" s="126"/>
      <c r="BK303" s="91"/>
    </row>
    <row r="304" spans="1:63" ht="15.75">
      <c r="A304" s="123">
        <v>507778</v>
      </c>
      <c r="B304" s="126">
        <v>212343</v>
      </c>
      <c r="C304" s="124" t="s">
        <v>1342</v>
      </c>
      <c r="D304" s="124" t="s">
        <v>1343</v>
      </c>
      <c r="E304" s="124" t="s">
        <v>1341</v>
      </c>
      <c r="F304" s="124" t="s">
        <v>323</v>
      </c>
      <c r="G304" s="127" t="s">
        <v>82</v>
      </c>
      <c r="H304" s="126" t="s">
        <v>628</v>
      </c>
      <c r="I304" s="126" t="s">
        <v>598</v>
      </c>
      <c r="J304" s="126" t="s">
        <v>888</v>
      </c>
      <c r="K304" s="128" t="s">
        <v>731</v>
      </c>
      <c r="L304" s="121" t="s">
        <v>519</v>
      </c>
      <c r="M304" s="126" t="s">
        <v>965</v>
      </c>
      <c r="N304" s="129">
        <v>43709</v>
      </c>
      <c r="O304" s="129">
        <v>44530</v>
      </c>
      <c r="P304" s="129">
        <v>44530</v>
      </c>
      <c r="Q304" s="130">
        <f>80000+59000+25750+139000</f>
        <v>303750</v>
      </c>
      <c r="R304" s="113"/>
      <c r="S304" s="132">
        <f>103000+25750</f>
        <v>128750</v>
      </c>
      <c r="T304" s="132">
        <v>0</v>
      </c>
      <c r="U304" s="132">
        <v>15000</v>
      </c>
      <c r="V304" s="132">
        <v>0</v>
      </c>
      <c r="W304" s="132">
        <v>21000</v>
      </c>
      <c r="X304" s="132">
        <v>0</v>
      </c>
      <c r="Y304" s="111">
        <v>164750</v>
      </c>
      <c r="Z304" s="133">
        <f t="shared" si="56"/>
        <v>164750</v>
      </c>
      <c r="AA304" s="133">
        <f t="shared" si="57"/>
        <v>0</v>
      </c>
      <c r="AB304" s="141"/>
      <c r="AC304" s="132">
        <v>103000</v>
      </c>
      <c r="AD304" s="132">
        <v>0</v>
      </c>
      <c r="AE304" s="132">
        <v>15000</v>
      </c>
      <c r="AF304" s="132">
        <v>0</v>
      </c>
      <c r="AG304" s="132">
        <v>21000</v>
      </c>
      <c r="AH304" s="132"/>
      <c r="AI304" s="111">
        <v>139000</v>
      </c>
      <c r="AJ304" s="134">
        <f t="shared" si="55"/>
        <v>139000</v>
      </c>
      <c r="AK304" s="134">
        <f t="shared" si="50"/>
        <v>0</v>
      </c>
      <c r="AL304" s="142"/>
      <c r="AM304" s="132">
        <f>103000-25750</f>
        <v>77250</v>
      </c>
      <c r="AN304" s="132">
        <v>0</v>
      </c>
      <c r="AO304" s="132">
        <v>15000</v>
      </c>
      <c r="AP304" s="132">
        <v>0</v>
      </c>
      <c r="AQ304" s="132">
        <v>21000</v>
      </c>
      <c r="AR304" s="135"/>
      <c r="AS304" s="116">
        <f>SUM(AM304:AR304)</f>
        <v>113250</v>
      </c>
      <c r="AT304" s="134">
        <f t="shared" si="58"/>
        <v>113250</v>
      </c>
      <c r="AU304" s="134">
        <f t="shared" si="51"/>
        <v>0</v>
      </c>
      <c r="AV304" s="142"/>
      <c r="AW304" s="135"/>
      <c r="AX304" s="135"/>
      <c r="AY304" s="135"/>
      <c r="AZ304" s="135"/>
      <c r="BA304" s="135"/>
      <c r="BB304" s="116"/>
      <c r="BC304" s="113"/>
      <c r="BD304" s="116"/>
      <c r="BE304" s="113"/>
      <c r="BF304" s="116"/>
      <c r="BG304" s="116"/>
      <c r="BH304" s="137">
        <f t="shared" si="52"/>
        <v>417000</v>
      </c>
      <c r="BI304" s="138">
        <f t="shared" si="53"/>
        <v>113250</v>
      </c>
      <c r="BJ304" s="126"/>
      <c r="BK304" s="91"/>
    </row>
    <row r="305" spans="1:63" ht="15.75">
      <c r="A305" s="123">
        <v>499897</v>
      </c>
      <c r="B305" s="126">
        <v>212361</v>
      </c>
      <c r="C305" s="124" t="s">
        <v>1345</v>
      </c>
      <c r="D305" s="124" t="s">
        <v>1346</v>
      </c>
      <c r="E305" s="125" t="s">
        <v>1344</v>
      </c>
      <c r="F305" s="124" t="s">
        <v>268</v>
      </c>
      <c r="G305" s="127" t="s">
        <v>46</v>
      </c>
      <c r="H305" s="126" t="s">
        <v>597</v>
      </c>
      <c r="I305" s="126" t="s">
        <v>598</v>
      </c>
      <c r="J305" s="126" t="s">
        <v>696</v>
      </c>
      <c r="K305" s="128" t="s">
        <v>697</v>
      </c>
      <c r="L305" s="121" t="s">
        <v>637</v>
      </c>
      <c r="M305" s="123" t="s">
        <v>638</v>
      </c>
      <c r="N305" s="129">
        <v>42248</v>
      </c>
      <c r="O305" s="129">
        <v>42895</v>
      </c>
      <c r="P305" s="129">
        <v>42895</v>
      </c>
      <c r="Q305" s="130">
        <v>323331.73</v>
      </c>
      <c r="R305" s="132">
        <v>156414.14000000001</v>
      </c>
      <c r="S305" s="132"/>
      <c r="T305" s="132">
        <v>99998.74</v>
      </c>
      <c r="U305" s="132">
        <v>0</v>
      </c>
      <c r="V305" s="132"/>
      <c r="W305" s="132">
        <v>8585.85</v>
      </c>
      <c r="X305" s="132">
        <v>58333</v>
      </c>
      <c r="Y305" s="111">
        <v>323331.73</v>
      </c>
      <c r="Z305" s="133">
        <f t="shared" si="56"/>
        <v>323331.73</v>
      </c>
      <c r="AA305" s="133">
        <f t="shared" si="57"/>
        <v>0</v>
      </c>
      <c r="AB305" s="141"/>
      <c r="AC305" s="132" t="s">
        <v>602</v>
      </c>
      <c r="AD305" s="132" t="s">
        <v>602</v>
      </c>
      <c r="AE305" s="132" t="s">
        <v>602</v>
      </c>
      <c r="AF305" s="132" t="s">
        <v>602</v>
      </c>
      <c r="AG305" s="132" t="s">
        <v>602</v>
      </c>
      <c r="AH305" s="132"/>
      <c r="AI305" s="111">
        <v>0</v>
      </c>
      <c r="AJ305" s="134">
        <f t="shared" si="55"/>
        <v>0</v>
      </c>
      <c r="AK305" s="134">
        <f t="shared" si="50"/>
        <v>0</v>
      </c>
      <c r="AL305" s="142"/>
      <c r="AM305" s="132" t="s">
        <v>602</v>
      </c>
      <c r="AN305" s="132" t="s">
        <v>602</v>
      </c>
      <c r="AO305" s="132" t="s">
        <v>602</v>
      </c>
      <c r="AP305" s="132" t="s">
        <v>602</v>
      </c>
      <c r="AQ305" s="132" t="s">
        <v>602</v>
      </c>
      <c r="AR305" s="135" t="s">
        <v>602</v>
      </c>
      <c r="AS305" s="116">
        <v>0</v>
      </c>
      <c r="AT305" s="134">
        <f t="shared" si="58"/>
        <v>0</v>
      </c>
      <c r="AU305" s="134">
        <f t="shared" si="51"/>
        <v>0</v>
      </c>
      <c r="AV305" s="142"/>
      <c r="AW305" s="132" t="s">
        <v>602</v>
      </c>
      <c r="AX305" s="132" t="s">
        <v>602</v>
      </c>
      <c r="AY305" s="132" t="s">
        <v>602</v>
      </c>
      <c r="AZ305" s="132" t="s">
        <v>602</v>
      </c>
      <c r="BA305" s="132" t="s">
        <v>602</v>
      </c>
      <c r="BB305" s="116"/>
      <c r="BC305" s="113"/>
      <c r="BD305" s="116"/>
      <c r="BE305" s="113"/>
      <c r="BF305" s="116"/>
      <c r="BG305" s="116"/>
      <c r="BH305" s="137">
        <f t="shared" si="52"/>
        <v>323331.73</v>
      </c>
      <c r="BI305" s="138">
        <f t="shared" si="53"/>
        <v>0</v>
      </c>
      <c r="BJ305" s="126" t="s">
        <v>1347</v>
      </c>
      <c r="BK305" s="91"/>
    </row>
    <row r="306" spans="1:63" ht="15.75">
      <c r="A306" s="123">
        <v>506457</v>
      </c>
      <c r="B306" s="126">
        <v>212361</v>
      </c>
      <c r="C306" s="124" t="s">
        <v>1345</v>
      </c>
      <c r="D306" s="124" t="s">
        <v>1346</v>
      </c>
      <c r="E306" s="125" t="s">
        <v>1344</v>
      </c>
      <c r="F306" s="124" t="s">
        <v>268</v>
      </c>
      <c r="G306" s="127" t="s">
        <v>46</v>
      </c>
      <c r="H306" s="126" t="s">
        <v>628</v>
      </c>
      <c r="I306" s="126" t="s">
        <v>598</v>
      </c>
      <c r="J306" s="126" t="s">
        <v>696</v>
      </c>
      <c r="K306" s="128" t="s">
        <v>697</v>
      </c>
      <c r="L306" s="121" t="s">
        <v>19</v>
      </c>
      <c r="M306" s="123" t="s">
        <v>1009</v>
      </c>
      <c r="N306" s="129">
        <v>43556</v>
      </c>
      <c r="O306" s="129">
        <v>44377</v>
      </c>
      <c r="P306" s="129">
        <v>44377</v>
      </c>
      <c r="Q306" s="130">
        <f>75000*2</f>
        <v>150000</v>
      </c>
      <c r="R306" s="113"/>
      <c r="S306" s="132">
        <v>50000</v>
      </c>
      <c r="T306" s="132">
        <v>0</v>
      </c>
      <c r="U306" s="132">
        <v>20000</v>
      </c>
      <c r="V306" s="132">
        <v>0</v>
      </c>
      <c r="W306" s="132">
        <v>5000</v>
      </c>
      <c r="X306" s="132">
        <v>0</v>
      </c>
      <c r="Y306" s="111">
        <v>75000</v>
      </c>
      <c r="Z306" s="133">
        <f t="shared" si="56"/>
        <v>75000</v>
      </c>
      <c r="AA306" s="133">
        <f t="shared" si="57"/>
        <v>0</v>
      </c>
      <c r="AB306" s="141"/>
      <c r="AC306" s="132">
        <v>50000</v>
      </c>
      <c r="AD306" s="132">
        <v>0</v>
      </c>
      <c r="AE306" s="132">
        <v>20000</v>
      </c>
      <c r="AF306" s="132">
        <v>0</v>
      </c>
      <c r="AG306" s="132">
        <v>5000</v>
      </c>
      <c r="AH306" s="132">
        <v>0</v>
      </c>
      <c r="AI306" s="111">
        <v>75000</v>
      </c>
      <c r="AJ306" s="134">
        <f t="shared" si="55"/>
        <v>75000</v>
      </c>
      <c r="AK306" s="134">
        <f t="shared" si="50"/>
        <v>0</v>
      </c>
      <c r="AL306" s="145"/>
      <c r="AM306" s="132" t="s">
        <v>602</v>
      </c>
      <c r="AN306" s="132" t="s">
        <v>602</v>
      </c>
      <c r="AO306" s="132" t="s">
        <v>602</v>
      </c>
      <c r="AP306" s="132" t="s">
        <v>602</v>
      </c>
      <c r="AQ306" s="132" t="s">
        <v>602</v>
      </c>
      <c r="AR306" s="135"/>
      <c r="AS306" s="116"/>
      <c r="AT306" s="134">
        <f t="shared" si="58"/>
        <v>0</v>
      </c>
      <c r="AU306" s="134">
        <f t="shared" si="51"/>
        <v>0</v>
      </c>
      <c r="AV306" s="142"/>
      <c r="AW306" s="135"/>
      <c r="AX306" s="135"/>
      <c r="AY306" s="135"/>
      <c r="AZ306" s="135"/>
      <c r="BA306" s="135"/>
      <c r="BB306" s="116"/>
      <c r="BC306" s="113"/>
      <c r="BD306" s="116"/>
      <c r="BE306" s="113"/>
      <c r="BF306" s="116"/>
      <c r="BG306" s="116"/>
      <c r="BH306" s="137">
        <f t="shared" si="52"/>
        <v>150000</v>
      </c>
      <c r="BI306" s="138">
        <f t="shared" si="53"/>
        <v>0</v>
      </c>
      <c r="BJ306" s="155" t="s">
        <v>821</v>
      </c>
      <c r="BK306" s="91"/>
    </row>
    <row r="307" spans="1:63" ht="15.75">
      <c r="A307" s="123">
        <v>507639</v>
      </c>
      <c r="B307" s="126">
        <v>212361</v>
      </c>
      <c r="C307" s="124" t="s">
        <v>1345</v>
      </c>
      <c r="D307" s="124" t="s">
        <v>1346</v>
      </c>
      <c r="E307" s="125" t="s">
        <v>1344</v>
      </c>
      <c r="F307" s="124" t="s">
        <v>268</v>
      </c>
      <c r="G307" s="127" t="s">
        <v>46</v>
      </c>
      <c r="H307" s="126" t="s">
        <v>628</v>
      </c>
      <c r="I307" s="126" t="s">
        <v>598</v>
      </c>
      <c r="J307" s="126" t="s">
        <v>696</v>
      </c>
      <c r="K307" s="128" t="s">
        <v>697</v>
      </c>
      <c r="L307" s="121" t="s">
        <v>519</v>
      </c>
      <c r="M307" s="123" t="s">
        <v>847</v>
      </c>
      <c r="N307" s="129">
        <v>43709</v>
      </c>
      <c r="O307" s="129">
        <v>44530</v>
      </c>
      <c r="P307" s="129">
        <v>44530</v>
      </c>
      <c r="Q307" s="130">
        <f>240000+240000</f>
        <v>480000</v>
      </c>
      <c r="R307" s="113"/>
      <c r="S307" s="132">
        <v>161415</v>
      </c>
      <c r="T307" s="132"/>
      <c r="U307" s="132">
        <v>49085</v>
      </c>
      <c r="V307" s="132"/>
      <c r="W307" s="132">
        <v>29500</v>
      </c>
      <c r="X307" s="132"/>
      <c r="Y307" s="111">
        <v>240000</v>
      </c>
      <c r="Z307" s="133">
        <f t="shared" si="56"/>
        <v>240000</v>
      </c>
      <c r="AA307" s="133">
        <f t="shared" si="57"/>
        <v>0</v>
      </c>
      <c r="AB307" s="141"/>
      <c r="AC307" s="132">
        <v>167551</v>
      </c>
      <c r="AD307" s="132"/>
      <c r="AE307" s="132">
        <v>45949</v>
      </c>
      <c r="AF307" s="132"/>
      <c r="AG307" s="132">
        <v>26500</v>
      </c>
      <c r="AH307" s="132"/>
      <c r="AI307" s="111">
        <v>240000</v>
      </c>
      <c r="AJ307" s="134">
        <f t="shared" ref="AJ307:AJ339" si="59">SUM(AB307:AH307)</f>
        <v>240000</v>
      </c>
      <c r="AK307" s="134">
        <f t="shared" si="50"/>
        <v>0</v>
      </c>
      <c r="AL307" s="142"/>
      <c r="AM307" s="132">
        <v>172068</v>
      </c>
      <c r="AN307" s="132"/>
      <c r="AO307" s="132">
        <v>43432</v>
      </c>
      <c r="AP307" s="132"/>
      <c r="AQ307" s="132">
        <v>24500</v>
      </c>
      <c r="AR307" s="132"/>
      <c r="AS307" s="116">
        <f>SUM(AM307:AR307)</f>
        <v>240000</v>
      </c>
      <c r="AT307" s="134">
        <f t="shared" si="58"/>
        <v>240000</v>
      </c>
      <c r="AU307" s="134">
        <f t="shared" si="51"/>
        <v>0</v>
      </c>
      <c r="AV307" s="142"/>
      <c r="AW307" s="135"/>
      <c r="AX307" s="135"/>
      <c r="AY307" s="135"/>
      <c r="AZ307" s="135"/>
      <c r="BA307" s="135"/>
      <c r="BB307" s="116"/>
      <c r="BC307" s="113"/>
      <c r="BD307" s="116"/>
      <c r="BE307" s="113"/>
      <c r="BF307" s="116"/>
      <c r="BG307" s="116"/>
      <c r="BH307" s="137">
        <f t="shared" si="52"/>
        <v>720000</v>
      </c>
      <c r="BI307" s="138">
        <f t="shared" si="53"/>
        <v>240000</v>
      </c>
      <c r="BJ307" s="126"/>
      <c r="BK307" s="91"/>
    </row>
    <row r="308" spans="1:63" ht="15.75">
      <c r="A308" s="123">
        <v>501332</v>
      </c>
      <c r="B308" s="126">
        <v>212404</v>
      </c>
      <c r="C308" s="121" t="s">
        <v>1350</v>
      </c>
      <c r="D308" s="121" t="s">
        <v>1351</v>
      </c>
      <c r="E308" s="125" t="s">
        <v>1348</v>
      </c>
      <c r="F308" s="124" t="s">
        <v>1349</v>
      </c>
      <c r="G308" s="127" t="s">
        <v>68</v>
      </c>
      <c r="H308" s="123" t="s">
        <v>597</v>
      </c>
      <c r="I308" s="126" t="s">
        <v>598</v>
      </c>
      <c r="J308" s="126" t="s">
        <v>888</v>
      </c>
      <c r="K308" s="128" t="s">
        <v>731</v>
      </c>
      <c r="L308" s="121" t="s">
        <v>515</v>
      </c>
      <c r="M308" s="143" t="s">
        <v>839</v>
      </c>
      <c r="N308" s="129">
        <v>42614</v>
      </c>
      <c r="O308" s="129">
        <v>43708</v>
      </c>
      <c r="P308" s="129">
        <v>43708</v>
      </c>
      <c r="Q308" s="144">
        <v>259000</v>
      </c>
      <c r="R308" s="150"/>
      <c r="S308" s="132">
        <v>65000</v>
      </c>
      <c r="T308" s="132">
        <v>0</v>
      </c>
      <c r="U308" s="132">
        <v>10000</v>
      </c>
      <c r="V308" s="132"/>
      <c r="W308" s="132">
        <v>18000</v>
      </c>
      <c r="X308" s="132">
        <v>0</v>
      </c>
      <c r="Y308" s="111">
        <v>93000</v>
      </c>
      <c r="Z308" s="133">
        <f t="shared" si="56"/>
        <v>93000</v>
      </c>
      <c r="AA308" s="133">
        <f t="shared" si="57"/>
        <v>0</v>
      </c>
      <c r="AB308" s="141"/>
      <c r="AC308" s="132">
        <v>65000</v>
      </c>
      <c r="AD308" s="132">
        <v>0</v>
      </c>
      <c r="AE308" s="132">
        <v>0</v>
      </c>
      <c r="AF308" s="132">
        <v>18000</v>
      </c>
      <c r="AG308" s="132">
        <v>0</v>
      </c>
      <c r="AH308" s="132"/>
      <c r="AI308" s="111">
        <v>83000</v>
      </c>
      <c r="AJ308" s="134">
        <f t="shared" si="59"/>
        <v>83000</v>
      </c>
      <c r="AK308" s="134">
        <f t="shared" si="50"/>
        <v>0</v>
      </c>
      <c r="AL308" s="142"/>
      <c r="AM308" s="135">
        <v>65000</v>
      </c>
      <c r="AN308" s="135">
        <v>0</v>
      </c>
      <c r="AO308" s="135">
        <v>0</v>
      </c>
      <c r="AP308" s="135"/>
      <c r="AQ308" s="135">
        <v>18000</v>
      </c>
      <c r="AR308" s="135">
        <v>0</v>
      </c>
      <c r="AS308" s="116">
        <v>83000</v>
      </c>
      <c r="AT308" s="134">
        <f t="shared" si="58"/>
        <v>83000</v>
      </c>
      <c r="AU308" s="134">
        <f t="shared" si="51"/>
        <v>0</v>
      </c>
      <c r="AV308" s="142"/>
      <c r="AW308" s="135"/>
      <c r="AX308" s="135"/>
      <c r="AY308" s="135"/>
      <c r="AZ308" s="135"/>
      <c r="BA308" s="135"/>
      <c r="BB308" s="116"/>
      <c r="BC308" s="113"/>
      <c r="BD308" s="116"/>
      <c r="BE308" s="113"/>
      <c r="BF308" s="116"/>
      <c r="BG308" s="116"/>
      <c r="BH308" s="137">
        <f t="shared" si="52"/>
        <v>259000</v>
      </c>
      <c r="BI308" s="138">
        <f t="shared" si="53"/>
        <v>0</v>
      </c>
      <c r="BJ308" s="147"/>
      <c r="BK308" s="91"/>
    </row>
    <row r="309" spans="1:63" ht="15.75">
      <c r="A309" s="123">
        <v>503283</v>
      </c>
      <c r="B309" s="126">
        <v>212404</v>
      </c>
      <c r="C309" s="121" t="s">
        <v>1350</v>
      </c>
      <c r="D309" s="121" t="s">
        <v>1351</v>
      </c>
      <c r="E309" s="125" t="s">
        <v>1348</v>
      </c>
      <c r="F309" s="124" t="s">
        <v>1349</v>
      </c>
      <c r="G309" s="127" t="s">
        <v>68</v>
      </c>
      <c r="H309" s="123" t="s">
        <v>597</v>
      </c>
      <c r="I309" s="126" t="s">
        <v>598</v>
      </c>
      <c r="J309" s="126" t="s">
        <v>730</v>
      </c>
      <c r="K309" s="128" t="s">
        <v>735</v>
      </c>
      <c r="L309" s="121" t="s">
        <v>19</v>
      </c>
      <c r="M309" s="143" t="s">
        <v>1352</v>
      </c>
      <c r="N309" s="129">
        <v>42917</v>
      </c>
      <c r="O309" s="129">
        <v>43373</v>
      </c>
      <c r="P309" s="129">
        <v>43921</v>
      </c>
      <c r="Q309" s="144">
        <v>27000</v>
      </c>
      <c r="R309" s="150"/>
      <c r="S309" s="132">
        <v>19000</v>
      </c>
      <c r="T309" s="132">
        <v>0</v>
      </c>
      <c r="U309" s="132">
        <v>8000</v>
      </c>
      <c r="V309" s="132">
        <v>0</v>
      </c>
      <c r="W309" s="132">
        <v>0</v>
      </c>
      <c r="X309" s="132">
        <v>0</v>
      </c>
      <c r="Y309" s="111">
        <v>27000</v>
      </c>
      <c r="Z309" s="133">
        <f t="shared" si="56"/>
        <v>27000</v>
      </c>
      <c r="AA309" s="133">
        <f t="shared" si="57"/>
        <v>0</v>
      </c>
      <c r="AB309" s="141"/>
      <c r="AC309" s="132" t="s">
        <v>602</v>
      </c>
      <c r="AD309" s="132" t="s">
        <v>602</v>
      </c>
      <c r="AE309" s="132" t="s">
        <v>602</v>
      </c>
      <c r="AF309" s="132" t="s">
        <v>602</v>
      </c>
      <c r="AG309" s="132" t="s">
        <v>602</v>
      </c>
      <c r="AH309" s="132"/>
      <c r="AI309" s="111">
        <v>0</v>
      </c>
      <c r="AJ309" s="134">
        <f t="shared" si="59"/>
        <v>0</v>
      </c>
      <c r="AK309" s="134">
        <f t="shared" si="50"/>
        <v>0</v>
      </c>
      <c r="AL309" s="145"/>
      <c r="AM309" s="132">
        <v>0</v>
      </c>
      <c r="AN309" s="132">
        <v>0</v>
      </c>
      <c r="AO309" s="132">
        <v>0</v>
      </c>
      <c r="AP309" s="132">
        <v>0</v>
      </c>
      <c r="AQ309" s="132">
        <v>0</v>
      </c>
      <c r="AR309" s="132">
        <v>0</v>
      </c>
      <c r="AS309" s="116">
        <v>0</v>
      </c>
      <c r="AT309" s="134">
        <f t="shared" si="58"/>
        <v>0</v>
      </c>
      <c r="AU309" s="134">
        <f t="shared" si="51"/>
        <v>0</v>
      </c>
      <c r="AV309" s="142"/>
      <c r="AW309" s="135"/>
      <c r="AX309" s="135"/>
      <c r="AY309" s="135"/>
      <c r="AZ309" s="135"/>
      <c r="BA309" s="135"/>
      <c r="BB309" s="116"/>
      <c r="BC309" s="113"/>
      <c r="BD309" s="116"/>
      <c r="BE309" s="113"/>
      <c r="BF309" s="116"/>
      <c r="BG309" s="116"/>
      <c r="BH309" s="137">
        <f t="shared" si="52"/>
        <v>27000</v>
      </c>
      <c r="BI309" s="138">
        <f t="shared" si="53"/>
        <v>0</v>
      </c>
      <c r="BJ309" s="147" t="s">
        <v>1304</v>
      </c>
      <c r="BK309" s="91"/>
    </row>
    <row r="310" spans="1:63" ht="15.75">
      <c r="A310" s="123">
        <v>500385</v>
      </c>
      <c r="B310" s="126">
        <v>212504</v>
      </c>
      <c r="C310" s="124" t="s">
        <v>1354</v>
      </c>
      <c r="D310" s="124" t="s">
        <v>1355</v>
      </c>
      <c r="E310" s="125" t="s">
        <v>1353</v>
      </c>
      <c r="F310" s="124" t="s">
        <v>255</v>
      </c>
      <c r="G310" s="127" t="s">
        <v>68</v>
      </c>
      <c r="H310" s="126" t="s">
        <v>597</v>
      </c>
      <c r="I310" s="126" t="s">
        <v>598</v>
      </c>
      <c r="J310" s="126" t="s">
        <v>888</v>
      </c>
      <c r="K310" s="128" t="s">
        <v>731</v>
      </c>
      <c r="L310" s="121" t="s">
        <v>637</v>
      </c>
      <c r="M310" s="123" t="s">
        <v>638</v>
      </c>
      <c r="N310" s="129">
        <v>42248</v>
      </c>
      <c r="O310" s="129">
        <v>42460</v>
      </c>
      <c r="P310" s="129">
        <v>42573</v>
      </c>
      <c r="Q310" s="130">
        <v>50000</v>
      </c>
      <c r="R310" s="132">
        <v>50000</v>
      </c>
      <c r="S310" s="132"/>
      <c r="T310" s="132">
        <v>0</v>
      </c>
      <c r="U310" s="132">
        <v>0</v>
      </c>
      <c r="V310" s="132"/>
      <c r="W310" s="132">
        <v>0</v>
      </c>
      <c r="X310" s="132">
        <v>0</v>
      </c>
      <c r="Y310" s="111">
        <v>50000</v>
      </c>
      <c r="Z310" s="133">
        <f t="shared" si="56"/>
        <v>50000</v>
      </c>
      <c r="AA310" s="133">
        <f t="shared" si="57"/>
        <v>0</v>
      </c>
      <c r="AB310" s="141"/>
      <c r="AC310" s="132" t="s">
        <v>602</v>
      </c>
      <c r="AD310" s="132" t="s">
        <v>602</v>
      </c>
      <c r="AE310" s="132" t="s">
        <v>602</v>
      </c>
      <c r="AF310" s="132" t="s">
        <v>602</v>
      </c>
      <c r="AG310" s="132" t="s">
        <v>602</v>
      </c>
      <c r="AH310" s="132"/>
      <c r="AI310" s="111">
        <v>0</v>
      </c>
      <c r="AJ310" s="134">
        <f t="shared" si="59"/>
        <v>0</v>
      </c>
      <c r="AK310" s="134">
        <f t="shared" si="50"/>
        <v>0</v>
      </c>
      <c r="AL310" s="142"/>
      <c r="AM310" s="132">
        <v>0</v>
      </c>
      <c r="AN310" s="132">
        <v>0</v>
      </c>
      <c r="AO310" s="132">
        <v>0</v>
      </c>
      <c r="AP310" s="132">
        <v>0</v>
      </c>
      <c r="AQ310" s="132">
        <v>0</v>
      </c>
      <c r="AR310" s="132">
        <v>0</v>
      </c>
      <c r="AS310" s="116">
        <v>0</v>
      </c>
      <c r="AT310" s="134">
        <f t="shared" si="58"/>
        <v>0</v>
      </c>
      <c r="AU310" s="134">
        <f t="shared" si="51"/>
        <v>0</v>
      </c>
      <c r="AV310" s="142"/>
      <c r="AW310" s="132" t="s">
        <v>602</v>
      </c>
      <c r="AX310" s="132" t="s">
        <v>602</v>
      </c>
      <c r="AY310" s="132" t="s">
        <v>602</v>
      </c>
      <c r="AZ310" s="132" t="s">
        <v>602</v>
      </c>
      <c r="BA310" s="132" t="s">
        <v>602</v>
      </c>
      <c r="BB310" s="116"/>
      <c r="BC310" s="113"/>
      <c r="BD310" s="116"/>
      <c r="BE310" s="113"/>
      <c r="BF310" s="116"/>
      <c r="BG310" s="116"/>
      <c r="BH310" s="137">
        <f t="shared" si="52"/>
        <v>50000</v>
      </c>
      <c r="BI310" s="138">
        <f t="shared" si="53"/>
        <v>0</v>
      </c>
      <c r="BJ310" s="126" t="s">
        <v>844</v>
      </c>
      <c r="BK310" s="91"/>
    </row>
    <row r="311" spans="1:63" ht="15.75">
      <c r="A311" s="123">
        <v>501332</v>
      </c>
      <c r="B311" s="126">
        <v>212504</v>
      </c>
      <c r="C311" s="124" t="s">
        <v>1354</v>
      </c>
      <c r="D311" s="124" t="s">
        <v>1355</v>
      </c>
      <c r="E311" s="125" t="s">
        <v>1353</v>
      </c>
      <c r="F311" s="124" t="s">
        <v>255</v>
      </c>
      <c r="G311" s="127" t="s">
        <v>68</v>
      </c>
      <c r="H311" s="126" t="s">
        <v>628</v>
      </c>
      <c r="I311" s="126" t="s">
        <v>598</v>
      </c>
      <c r="J311" s="126" t="s">
        <v>888</v>
      </c>
      <c r="K311" s="128" t="s">
        <v>731</v>
      </c>
      <c r="L311" s="121" t="s">
        <v>515</v>
      </c>
      <c r="M311" s="123" t="s">
        <v>839</v>
      </c>
      <c r="N311" s="129">
        <v>42614</v>
      </c>
      <c r="O311" s="129">
        <v>43708</v>
      </c>
      <c r="P311" s="129">
        <v>43708</v>
      </c>
      <c r="Q311" s="130">
        <v>185000</v>
      </c>
      <c r="R311" s="113"/>
      <c r="S311" s="132">
        <v>36500</v>
      </c>
      <c r="T311" s="132">
        <v>0</v>
      </c>
      <c r="U311" s="132">
        <v>28500</v>
      </c>
      <c r="V311" s="132"/>
      <c r="W311" s="132">
        <v>0</v>
      </c>
      <c r="X311" s="132">
        <v>0</v>
      </c>
      <c r="Y311" s="111">
        <v>65000</v>
      </c>
      <c r="Z311" s="133">
        <f t="shared" ref="Z311:Z339" si="60">SUM(R311:X311)</f>
        <v>65000</v>
      </c>
      <c r="AA311" s="133">
        <f t="shared" si="57"/>
        <v>0</v>
      </c>
      <c r="AB311" s="141"/>
      <c r="AC311" s="132">
        <v>31500</v>
      </c>
      <c r="AD311" s="132">
        <v>0</v>
      </c>
      <c r="AE311" s="132">
        <v>28500</v>
      </c>
      <c r="AF311" s="132">
        <v>0</v>
      </c>
      <c r="AG311" s="132">
        <v>0</v>
      </c>
      <c r="AH311" s="132"/>
      <c r="AI311" s="111">
        <v>60000</v>
      </c>
      <c r="AJ311" s="134">
        <f t="shared" si="59"/>
        <v>60000</v>
      </c>
      <c r="AK311" s="134">
        <f t="shared" si="50"/>
        <v>0</v>
      </c>
      <c r="AL311" s="142"/>
      <c r="AM311" s="135">
        <v>31500</v>
      </c>
      <c r="AN311" s="135">
        <v>0</v>
      </c>
      <c r="AO311" s="135">
        <v>28500</v>
      </c>
      <c r="AP311" s="135"/>
      <c r="AQ311" s="135">
        <v>0</v>
      </c>
      <c r="AR311" s="135">
        <v>0</v>
      </c>
      <c r="AS311" s="116">
        <v>60000</v>
      </c>
      <c r="AT311" s="134">
        <f t="shared" si="58"/>
        <v>60000</v>
      </c>
      <c r="AU311" s="134">
        <f t="shared" si="51"/>
        <v>0</v>
      </c>
      <c r="AV311" s="142"/>
      <c r="AW311" s="135"/>
      <c r="AX311" s="135"/>
      <c r="AY311" s="135"/>
      <c r="AZ311" s="135"/>
      <c r="BA311" s="135"/>
      <c r="BB311" s="116"/>
      <c r="BC311" s="113"/>
      <c r="BD311" s="116"/>
      <c r="BE311" s="113"/>
      <c r="BF311" s="116"/>
      <c r="BG311" s="116"/>
      <c r="BH311" s="137">
        <f t="shared" si="52"/>
        <v>185000</v>
      </c>
      <c r="BI311" s="138">
        <f t="shared" si="53"/>
        <v>0</v>
      </c>
      <c r="BJ311" s="126"/>
      <c r="BK311" s="91"/>
    </row>
    <row r="312" spans="1:63" ht="15.75">
      <c r="A312" s="123">
        <v>501333</v>
      </c>
      <c r="B312" s="126">
        <v>212504</v>
      </c>
      <c r="C312" s="124" t="s">
        <v>1354</v>
      </c>
      <c r="D312" s="124" t="s">
        <v>1355</v>
      </c>
      <c r="E312" s="125" t="s">
        <v>1353</v>
      </c>
      <c r="F312" s="124" t="s">
        <v>255</v>
      </c>
      <c r="G312" s="127" t="s">
        <v>68</v>
      </c>
      <c r="H312" s="126" t="s">
        <v>628</v>
      </c>
      <c r="I312" s="126" t="s">
        <v>598</v>
      </c>
      <c r="J312" s="126" t="s">
        <v>888</v>
      </c>
      <c r="K312" s="128" t="s">
        <v>731</v>
      </c>
      <c r="L312" s="121" t="s">
        <v>515</v>
      </c>
      <c r="M312" s="123" t="s">
        <v>797</v>
      </c>
      <c r="N312" s="129">
        <v>42614</v>
      </c>
      <c r="O312" s="129">
        <v>43830</v>
      </c>
      <c r="P312" s="129">
        <v>44144</v>
      </c>
      <c r="Q312" s="130">
        <v>319225</v>
      </c>
      <c r="R312" s="113"/>
      <c r="S312" s="132">
        <v>61150</v>
      </c>
      <c r="T312" s="132">
        <v>0</v>
      </c>
      <c r="U312" s="132">
        <v>28850</v>
      </c>
      <c r="V312" s="132"/>
      <c r="W312" s="132">
        <v>49225</v>
      </c>
      <c r="X312" s="132">
        <v>0</v>
      </c>
      <c r="Y312" s="111">
        <v>139225</v>
      </c>
      <c r="Z312" s="133">
        <f t="shared" si="60"/>
        <v>139225</v>
      </c>
      <c r="AA312" s="133">
        <f t="shared" si="57"/>
        <v>0</v>
      </c>
      <c r="AB312" s="141"/>
      <c r="AC312" s="132">
        <v>61150</v>
      </c>
      <c r="AD312" s="132">
        <v>0</v>
      </c>
      <c r="AE312" s="132">
        <v>28850</v>
      </c>
      <c r="AF312" s="132">
        <v>0</v>
      </c>
      <c r="AG312" s="132">
        <v>0</v>
      </c>
      <c r="AH312" s="132"/>
      <c r="AI312" s="111">
        <v>90000</v>
      </c>
      <c r="AJ312" s="134">
        <f t="shared" si="59"/>
        <v>90000</v>
      </c>
      <c r="AK312" s="134">
        <f t="shared" si="50"/>
        <v>0</v>
      </c>
      <c r="AL312" s="142"/>
      <c r="AM312" s="135">
        <v>61150</v>
      </c>
      <c r="AN312" s="135">
        <v>0</v>
      </c>
      <c r="AO312" s="135">
        <v>28850</v>
      </c>
      <c r="AP312" s="135"/>
      <c r="AQ312" s="135">
        <v>0</v>
      </c>
      <c r="AR312" s="135">
        <v>0</v>
      </c>
      <c r="AS312" s="116">
        <v>90000</v>
      </c>
      <c r="AT312" s="134">
        <f t="shared" si="58"/>
        <v>90000</v>
      </c>
      <c r="AU312" s="134">
        <f t="shared" si="51"/>
        <v>0</v>
      </c>
      <c r="AV312" s="142"/>
      <c r="AW312" s="135"/>
      <c r="AX312" s="135"/>
      <c r="AY312" s="135"/>
      <c r="AZ312" s="135"/>
      <c r="BA312" s="135"/>
      <c r="BB312" s="116"/>
      <c r="BC312" s="113"/>
      <c r="BD312" s="116"/>
      <c r="BE312" s="113"/>
      <c r="BF312" s="116"/>
      <c r="BG312" s="116"/>
      <c r="BH312" s="137">
        <f t="shared" si="52"/>
        <v>319225</v>
      </c>
      <c r="BI312" s="138">
        <f t="shared" si="53"/>
        <v>0</v>
      </c>
      <c r="BJ312" s="126"/>
      <c r="BK312" s="91"/>
    </row>
    <row r="313" spans="1:63" ht="15.75">
      <c r="A313" s="123">
        <v>505082</v>
      </c>
      <c r="B313" s="126">
        <v>212504</v>
      </c>
      <c r="C313" s="124" t="s">
        <v>1354</v>
      </c>
      <c r="D313" s="124" t="s">
        <v>1355</v>
      </c>
      <c r="E313" s="125" t="s">
        <v>1353</v>
      </c>
      <c r="F313" s="124" t="s">
        <v>255</v>
      </c>
      <c r="G313" s="127" t="s">
        <v>68</v>
      </c>
      <c r="H313" s="126" t="s">
        <v>597</v>
      </c>
      <c r="I313" s="126" t="s">
        <v>598</v>
      </c>
      <c r="J313" s="126" t="s">
        <v>888</v>
      </c>
      <c r="K313" s="128" t="s">
        <v>731</v>
      </c>
      <c r="L313" s="121" t="s">
        <v>517</v>
      </c>
      <c r="M313" s="123" t="s">
        <v>1356</v>
      </c>
      <c r="N313" s="129">
        <v>43191</v>
      </c>
      <c r="O313" s="129">
        <v>44286</v>
      </c>
      <c r="P313" s="129">
        <v>44286</v>
      </c>
      <c r="Q313" s="130">
        <f>100000+50000</f>
        <v>150000</v>
      </c>
      <c r="R313" s="113"/>
      <c r="S313" s="132">
        <v>50000</v>
      </c>
      <c r="T313" s="132">
        <v>0</v>
      </c>
      <c r="U313" s="132">
        <v>0</v>
      </c>
      <c r="V313" s="132"/>
      <c r="W313" s="132">
        <v>0</v>
      </c>
      <c r="X313" s="132">
        <v>0</v>
      </c>
      <c r="Y313" s="111">
        <v>50000</v>
      </c>
      <c r="Z313" s="133">
        <f t="shared" si="60"/>
        <v>50000</v>
      </c>
      <c r="AA313" s="133">
        <f t="shared" si="57"/>
        <v>0</v>
      </c>
      <c r="AB313" s="141"/>
      <c r="AC313" s="132">
        <v>50000</v>
      </c>
      <c r="AD313" s="132">
        <v>0</v>
      </c>
      <c r="AE313" s="132">
        <v>0</v>
      </c>
      <c r="AF313" s="132">
        <v>0</v>
      </c>
      <c r="AG313" s="132">
        <v>0</v>
      </c>
      <c r="AH313" s="132"/>
      <c r="AI313" s="111">
        <v>50000</v>
      </c>
      <c r="AJ313" s="134">
        <f t="shared" si="59"/>
        <v>50000</v>
      </c>
      <c r="AK313" s="134">
        <f t="shared" si="50"/>
        <v>0</v>
      </c>
      <c r="AL313" s="142"/>
      <c r="AM313" s="132">
        <v>50000</v>
      </c>
      <c r="AN313" s="132">
        <v>0</v>
      </c>
      <c r="AO313" s="132">
        <v>0</v>
      </c>
      <c r="AP313" s="132">
        <v>0</v>
      </c>
      <c r="AQ313" s="132">
        <v>0</v>
      </c>
      <c r="AR313" s="135"/>
      <c r="AS313" s="116">
        <v>50000</v>
      </c>
      <c r="AT313" s="134">
        <f t="shared" si="58"/>
        <v>50000</v>
      </c>
      <c r="AU313" s="134">
        <f t="shared" si="51"/>
        <v>0</v>
      </c>
      <c r="AV313" s="142"/>
      <c r="AW313" s="135"/>
      <c r="AX313" s="135"/>
      <c r="AY313" s="135"/>
      <c r="AZ313" s="135"/>
      <c r="BA313" s="135"/>
      <c r="BB313" s="116"/>
      <c r="BC313" s="113"/>
      <c r="BD313" s="116"/>
      <c r="BE313" s="113"/>
      <c r="BF313" s="116"/>
      <c r="BG313" s="116"/>
      <c r="BH313" s="137">
        <f t="shared" si="52"/>
        <v>150000</v>
      </c>
      <c r="BI313" s="138">
        <f t="shared" si="53"/>
        <v>0</v>
      </c>
      <c r="BJ313" s="126" t="s">
        <v>846</v>
      </c>
      <c r="BK313" s="91"/>
    </row>
    <row r="314" spans="1:63" ht="15.75">
      <c r="A314" s="123">
        <v>507638</v>
      </c>
      <c r="B314" s="126">
        <v>212504</v>
      </c>
      <c r="C314" s="124" t="s">
        <v>1354</v>
      </c>
      <c r="D314" s="124" t="s">
        <v>1355</v>
      </c>
      <c r="E314" s="125" t="s">
        <v>1353</v>
      </c>
      <c r="F314" s="124" t="s">
        <v>255</v>
      </c>
      <c r="G314" s="127" t="s">
        <v>68</v>
      </c>
      <c r="H314" s="126" t="s">
        <v>597</v>
      </c>
      <c r="I314" s="126" t="s">
        <v>598</v>
      </c>
      <c r="J314" s="126" t="s">
        <v>888</v>
      </c>
      <c r="K314" s="128" t="s">
        <v>731</v>
      </c>
      <c r="L314" s="121" t="s">
        <v>519</v>
      </c>
      <c r="M314" s="123" t="s">
        <v>791</v>
      </c>
      <c r="N314" s="129">
        <v>43709</v>
      </c>
      <c r="O314" s="129">
        <v>44530</v>
      </c>
      <c r="P314" s="129">
        <v>44530</v>
      </c>
      <c r="Q314" s="130">
        <f>133000+133500</f>
        <v>266500</v>
      </c>
      <c r="R314" s="113"/>
      <c r="S314" s="132">
        <v>69500</v>
      </c>
      <c r="T314" s="132"/>
      <c r="U314" s="132">
        <v>3500</v>
      </c>
      <c r="V314" s="132"/>
      <c r="W314" s="132">
        <v>60000</v>
      </c>
      <c r="X314" s="132"/>
      <c r="Y314" s="111">
        <v>133000</v>
      </c>
      <c r="Z314" s="133">
        <f t="shared" si="60"/>
        <v>133000</v>
      </c>
      <c r="AA314" s="133">
        <f t="shared" si="57"/>
        <v>0</v>
      </c>
      <c r="AB314" s="141"/>
      <c r="AC314" s="132">
        <v>69500</v>
      </c>
      <c r="AD314" s="132"/>
      <c r="AE314" s="132">
        <v>4000</v>
      </c>
      <c r="AF314" s="132"/>
      <c r="AG314" s="132">
        <v>60000</v>
      </c>
      <c r="AH314" s="132"/>
      <c r="AI314" s="111">
        <v>133500</v>
      </c>
      <c r="AJ314" s="134">
        <f t="shared" si="59"/>
        <v>133500</v>
      </c>
      <c r="AK314" s="134">
        <f t="shared" si="50"/>
        <v>0</v>
      </c>
      <c r="AL314" s="142"/>
      <c r="AM314" s="132">
        <v>69500</v>
      </c>
      <c r="AN314" s="132">
        <v>0</v>
      </c>
      <c r="AO314" s="132">
        <v>4000</v>
      </c>
      <c r="AP314" s="132">
        <v>0</v>
      </c>
      <c r="AQ314" s="132">
        <v>60000</v>
      </c>
      <c r="AR314" s="135"/>
      <c r="AS314" s="116">
        <f>SUM(AM314:AR314)</f>
        <v>133500</v>
      </c>
      <c r="AT314" s="134">
        <f t="shared" si="58"/>
        <v>133500</v>
      </c>
      <c r="AU314" s="134">
        <f t="shared" si="51"/>
        <v>0</v>
      </c>
      <c r="AV314" s="142"/>
      <c r="AW314" s="135"/>
      <c r="AX314" s="135"/>
      <c r="AY314" s="135"/>
      <c r="AZ314" s="135"/>
      <c r="BA314" s="135"/>
      <c r="BB314" s="116"/>
      <c r="BC314" s="113"/>
      <c r="BD314" s="116"/>
      <c r="BE314" s="113"/>
      <c r="BF314" s="116"/>
      <c r="BG314" s="116"/>
      <c r="BH314" s="137">
        <f t="shared" si="52"/>
        <v>400000</v>
      </c>
      <c r="BI314" s="138">
        <f t="shared" si="53"/>
        <v>133500</v>
      </c>
      <c r="BJ314" s="126"/>
      <c r="BK314" s="91"/>
    </row>
    <row r="315" spans="1:63" ht="15.75">
      <c r="A315" s="123">
        <v>500009</v>
      </c>
      <c r="B315" s="126">
        <v>212561</v>
      </c>
      <c r="C315" s="124" t="s">
        <v>1359</v>
      </c>
      <c r="D315" s="124" t="s">
        <v>1203</v>
      </c>
      <c r="E315" s="125" t="s">
        <v>1357</v>
      </c>
      <c r="F315" s="124" t="s">
        <v>1358</v>
      </c>
      <c r="G315" s="127" t="s">
        <v>46</v>
      </c>
      <c r="H315" s="126" t="s">
        <v>597</v>
      </c>
      <c r="I315" s="123" t="s">
        <v>703</v>
      </c>
      <c r="J315" s="126" t="s">
        <v>774</v>
      </c>
      <c r="K315" s="128" t="s">
        <v>775</v>
      </c>
      <c r="L315" s="121" t="s">
        <v>652</v>
      </c>
      <c r="M315" s="123" t="s">
        <v>638</v>
      </c>
      <c r="N315" s="129">
        <v>42339</v>
      </c>
      <c r="O315" s="129">
        <v>42668</v>
      </c>
      <c r="P315" s="129">
        <v>42668</v>
      </c>
      <c r="Q315" s="130">
        <v>25000</v>
      </c>
      <c r="R315" s="113"/>
      <c r="S315" s="132">
        <v>25000</v>
      </c>
      <c r="T315" s="132">
        <v>0</v>
      </c>
      <c r="U315" s="132">
        <v>0</v>
      </c>
      <c r="V315" s="132"/>
      <c r="W315" s="132">
        <v>0</v>
      </c>
      <c r="X315" s="132">
        <v>0</v>
      </c>
      <c r="Y315" s="111">
        <v>25000</v>
      </c>
      <c r="Z315" s="133">
        <f t="shared" si="60"/>
        <v>25000</v>
      </c>
      <c r="AA315" s="133">
        <f t="shared" si="57"/>
        <v>0</v>
      </c>
      <c r="AB315" s="141"/>
      <c r="AC315" s="132" t="s">
        <v>602</v>
      </c>
      <c r="AD315" s="132" t="s">
        <v>602</v>
      </c>
      <c r="AE315" s="132" t="s">
        <v>602</v>
      </c>
      <c r="AF315" s="132" t="s">
        <v>602</v>
      </c>
      <c r="AG315" s="132" t="s">
        <v>602</v>
      </c>
      <c r="AH315" s="132"/>
      <c r="AI315" s="111">
        <v>0</v>
      </c>
      <c r="AJ315" s="134">
        <f t="shared" si="59"/>
        <v>0</v>
      </c>
      <c r="AK315" s="134">
        <f t="shared" si="50"/>
        <v>0</v>
      </c>
      <c r="AL315" s="142"/>
      <c r="AM315" s="132">
        <v>0</v>
      </c>
      <c r="AN315" s="132">
        <v>0</v>
      </c>
      <c r="AO315" s="132">
        <v>0</v>
      </c>
      <c r="AP315" s="132">
        <v>0</v>
      </c>
      <c r="AQ315" s="132">
        <v>0</v>
      </c>
      <c r="AR315" s="132">
        <v>0</v>
      </c>
      <c r="AS315" s="116">
        <v>0</v>
      </c>
      <c r="AT315" s="134">
        <f t="shared" si="58"/>
        <v>0</v>
      </c>
      <c r="AU315" s="134">
        <f t="shared" si="51"/>
        <v>0</v>
      </c>
      <c r="AV315" s="142"/>
      <c r="AW315" s="135"/>
      <c r="AX315" s="135"/>
      <c r="AY315" s="135"/>
      <c r="AZ315" s="135"/>
      <c r="BA315" s="135"/>
      <c r="BB315" s="116"/>
      <c r="BC315" s="113"/>
      <c r="BD315" s="116"/>
      <c r="BE315" s="113"/>
      <c r="BF315" s="116"/>
      <c r="BG315" s="116"/>
      <c r="BH315" s="137">
        <f t="shared" si="52"/>
        <v>25000</v>
      </c>
      <c r="BI315" s="138">
        <f t="shared" si="53"/>
        <v>0</v>
      </c>
      <c r="BJ315" s="126" t="s">
        <v>766</v>
      </c>
      <c r="BK315" s="91"/>
    </row>
    <row r="316" spans="1:63" ht="15.75">
      <c r="A316" s="123">
        <v>501335</v>
      </c>
      <c r="B316" s="126">
        <v>212561</v>
      </c>
      <c r="C316" s="124" t="s">
        <v>1359</v>
      </c>
      <c r="D316" s="124" t="s">
        <v>1203</v>
      </c>
      <c r="E316" s="125" t="s">
        <v>1357</v>
      </c>
      <c r="F316" s="124" t="s">
        <v>1358</v>
      </c>
      <c r="G316" s="127" t="s">
        <v>46</v>
      </c>
      <c r="H316" s="126" t="s">
        <v>628</v>
      </c>
      <c r="I316" s="123" t="s">
        <v>703</v>
      </c>
      <c r="J316" s="126" t="s">
        <v>774</v>
      </c>
      <c r="K316" s="128" t="s">
        <v>775</v>
      </c>
      <c r="L316" s="121" t="s">
        <v>515</v>
      </c>
      <c r="M316" s="123" t="s">
        <v>994</v>
      </c>
      <c r="N316" s="129">
        <v>42614</v>
      </c>
      <c r="O316" s="129">
        <v>43708</v>
      </c>
      <c r="P316" s="129">
        <v>43798</v>
      </c>
      <c r="Q316" s="130">
        <v>60000</v>
      </c>
      <c r="R316" s="113"/>
      <c r="S316" s="132">
        <v>10000</v>
      </c>
      <c r="T316" s="132">
        <v>0</v>
      </c>
      <c r="U316" s="132">
        <v>10000</v>
      </c>
      <c r="V316" s="132"/>
      <c r="W316" s="132">
        <v>0</v>
      </c>
      <c r="X316" s="132">
        <v>0</v>
      </c>
      <c r="Y316" s="111">
        <v>20000</v>
      </c>
      <c r="Z316" s="133">
        <f t="shared" si="60"/>
        <v>20000</v>
      </c>
      <c r="AA316" s="133">
        <f t="shared" si="57"/>
        <v>0</v>
      </c>
      <c r="AB316" s="141"/>
      <c r="AC316" s="132">
        <v>10000</v>
      </c>
      <c r="AD316" s="132">
        <v>0</v>
      </c>
      <c r="AE316" s="132">
        <v>10000</v>
      </c>
      <c r="AF316" s="132">
        <v>0</v>
      </c>
      <c r="AG316" s="132">
        <v>0</v>
      </c>
      <c r="AH316" s="132"/>
      <c r="AI316" s="111">
        <v>20000</v>
      </c>
      <c r="AJ316" s="134">
        <f t="shared" si="59"/>
        <v>20000</v>
      </c>
      <c r="AK316" s="134">
        <f t="shared" si="50"/>
        <v>0</v>
      </c>
      <c r="AL316" s="142"/>
      <c r="AM316" s="135">
        <v>10000</v>
      </c>
      <c r="AN316" s="135">
        <v>0</v>
      </c>
      <c r="AO316" s="135">
        <v>10000</v>
      </c>
      <c r="AP316" s="135"/>
      <c r="AQ316" s="135">
        <v>0</v>
      </c>
      <c r="AR316" s="135">
        <v>0</v>
      </c>
      <c r="AS316" s="116">
        <v>20000</v>
      </c>
      <c r="AT316" s="134">
        <f t="shared" si="58"/>
        <v>20000</v>
      </c>
      <c r="AU316" s="134">
        <f t="shared" si="51"/>
        <v>0</v>
      </c>
      <c r="AV316" s="142"/>
      <c r="AW316" s="135"/>
      <c r="AX316" s="135"/>
      <c r="AY316" s="135"/>
      <c r="AZ316" s="135"/>
      <c r="BA316" s="135"/>
      <c r="BB316" s="116"/>
      <c r="BC316" s="113"/>
      <c r="BD316" s="116"/>
      <c r="BE316" s="113"/>
      <c r="BF316" s="116"/>
      <c r="BG316" s="116"/>
      <c r="BH316" s="137">
        <f t="shared" si="52"/>
        <v>60000</v>
      </c>
      <c r="BI316" s="138">
        <f t="shared" si="53"/>
        <v>0</v>
      </c>
      <c r="BJ316" s="126"/>
      <c r="BK316" s="91"/>
    </row>
    <row r="317" spans="1:63" ht="15.75">
      <c r="A317" s="123">
        <v>503282</v>
      </c>
      <c r="B317" s="126">
        <v>212561</v>
      </c>
      <c r="C317" s="124" t="s">
        <v>1359</v>
      </c>
      <c r="D317" s="124" t="s">
        <v>1203</v>
      </c>
      <c r="E317" s="125" t="s">
        <v>1357</v>
      </c>
      <c r="F317" s="124" t="s">
        <v>1358</v>
      </c>
      <c r="G317" s="127" t="s">
        <v>46</v>
      </c>
      <c r="H317" s="126" t="s">
        <v>597</v>
      </c>
      <c r="I317" s="123" t="s">
        <v>703</v>
      </c>
      <c r="J317" s="126" t="s">
        <v>774</v>
      </c>
      <c r="K317" s="128" t="s">
        <v>775</v>
      </c>
      <c r="L317" s="121" t="s">
        <v>19</v>
      </c>
      <c r="M317" s="123" t="s">
        <v>1360</v>
      </c>
      <c r="N317" s="129">
        <v>42917</v>
      </c>
      <c r="O317" s="129">
        <v>43373</v>
      </c>
      <c r="P317" s="129">
        <v>43190</v>
      </c>
      <c r="Q317" s="130">
        <v>30000</v>
      </c>
      <c r="R317" s="113"/>
      <c r="S317" s="132">
        <v>15000</v>
      </c>
      <c r="T317" s="132">
        <v>0</v>
      </c>
      <c r="U317" s="132">
        <v>15000</v>
      </c>
      <c r="V317" s="132">
        <v>0</v>
      </c>
      <c r="W317" s="132">
        <v>0</v>
      </c>
      <c r="X317" s="132">
        <v>0</v>
      </c>
      <c r="Y317" s="111">
        <v>30000</v>
      </c>
      <c r="Z317" s="133">
        <f t="shared" si="60"/>
        <v>30000</v>
      </c>
      <c r="AA317" s="133">
        <f t="shared" si="57"/>
        <v>0</v>
      </c>
      <c r="AB317" s="141"/>
      <c r="AC317" s="132" t="s">
        <v>602</v>
      </c>
      <c r="AD317" s="132" t="s">
        <v>602</v>
      </c>
      <c r="AE317" s="132" t="s">
        <v>602</v>
      </c>
      <c r="AF317" s="132" t="s">
        <v>602</v>
      </c>
      <c r="AG317" s="132" t="s">
        <v>602</v>
      </c>
      <c r="AH317" s="132"/>
      <c r="AI317" s="111">
        <v>0</v>
      </c>
      <c r="AJ317" s="134">
        <f t="shared" si="59"/>
        <v>0</v>
      </c>
      <c r="AK317" s="134">
        <f t="shared" si="50"/>
        <v>0</v>
      </c>
      <c r="AL317" s="145"/>
      <c r="AM317" s="132">
        <v>0</v>
      </c>
      <c r="AN317" s="132">
        <v>0</v>
      </c>
      <c r="AO317" s="132">
        <v>0</v>
      </c>
      <c r="AP317" s="132">
        <v>0</v>
      </c>
      <c r="AQ317" s="132">
        <v>0</v>
      </c>
      <c r="AR317" s="132">
        <v>0</v>
      </c>
      <c r="AS317" s="116">
        <v>0</v>
      </c>
      <c r="AT317" s="134">
        <f t="shared" si="58"/>
        <v>0</v>
      </c>
      <c r="AU317" s="134">
        <f t="shared" si="51"/>
        <v>0</v>
      </c>
      <c r="AV317" s="142"/>
      <c r="AW317" s="135"/>
      <c r="AX317" s="135"/>
      <c r="AY317" s="135"/>
      <c r="AZ317" s="135"/>
      <c r="BA317" s="135"/>
      <c r="BB317" s="116"/>
      <c r="BC317" s="113"/>
      <c r="BD317" s="116"/>
      <c r="BE317" s="113"/>
      <c r="BF317" s="116"/>
      <c r="BG317" s="116"/>
      <c r="BH317" s="137">
        <f t="shared" si="52"/>
        <v>30000</v>
      </c>
      <c r="BI317" s="138">
        <f t="shared" si="53"/>
        <v>0</v>
      </c>
      <c r="BJ317" s="126" t="s">
        <v>1361</v>
      </c>
      <c r="BK317" s="91"/>
    </row>
    <row r="318" spans="1:63" ht="15.75">
      <c r="A318" s="123">
        <v>501333</v>
      </c>
      <c r="B318" s="126">
        <v>212630</v>
      </c>
      <c r="C318" s="124" t="s">
        <v>1364</v>
      </c>
      <c r="D318" s="124" t="s">
        <v>1365</v>
      </c>
      <c r="E318" s="125" t="s">
        <v>1362</v>
      </c>
      <c r="F318" s="124" t="s">
        <v>1363</v>
      </c>
      <c r="G318" s="127" t="s">
        <v>46</v>
      </c>
      <c r="H318" s="126" t="s">
        <v>628</v>
      </c>
      <c r="I318" s="126" t="s">
        <v>598</v>
      </c>
      <c r="J318" s="126" t="s">
        <v>888</v>
      </c>
      <c r="K318" s="128" t="s">
        <v>731</v>
      </c>
      <c r="L318" s="121" t="s">
        <v>515</v>
      </c>
      <c r="M318" s="123" t="s">
        <v>797</v>
      </c>
      <c r="N318" s="129">
        <v>42614</v>
      </c>
      <c r="O318" s="129">
        <v>43830</v>
      </c>
      <c r="P318" s="129">
        <v>44144</v>
      </c>
      <c r="Q318" s="130">
        <v>270000</v>
      </c>
      <c r="R318" s="113"/>
      <c r="S318" s="132">
        <v>90000</v>
      </c>
      <c r="T318" s="132">
        <v>0</v>
      </c>
      <c r="U318" s="132">
        <v>0</v>
      </c>
      <c r="V318" s="132"/>
      <c r="W318" s="132">
        <v>0</v>
      </c>
      <c r="X318" s="132">
        <v>0</v>
      </c>
      <c r="Y318" s="111">
        <v>90000</v>
      </c>
      <c r="Z318" s="133">
        <f t="shared" si="60"/>
        <v>90000</v>
      </c>
      <c r="AA318" s="133">
        <f t="shared" si="57"/>
        <v>0</v>
      </c>
      <c r="AB318" s="141"/>
      <c r="AC318" s="132">
        <v>90000</v>
      </c>
      <c r="AD318" s="132">
        <v>0</v>
      </c>
      <c r="AE318" s="132">
        <v>0</v>
      </c>
      <c r="AF318" s="132">
        <v>0</v>
      </c>
      <c r="AG318" s="132">
        <v>0</v>
      </c>
      <c r="AH318" s="132"/>
      <c r="AI318" s="111">
        <v>90000</v>
      </c>
      <c r="AJ318" s="134">
        <f t="shared" si="59"/>
        <v>90000</v>
      </c>
      <c r="AK318" s="134">
        <f t="shared" si="50"/>
        <v>0</v>
      </c>
      <c r="AL318" s="142"/>
      <c r="AM318" s="135">
        <v>90000</v>
      </c>
      <c r="AN318" s="135">
        <v>0</v>
      </c>
      <c r="AO318" s="135">
        <v>0</v>
      </c>
      <c r="AP318" s="135"/>
      <c r="AQ318" s="135">
        <v>0</v>
      </c>
      <c r="AR318" s="135">
        <v>0</v>
      </c>
      <c r="AS318" s="116">
        <v>90000</v>
      </c>
      <c r="AT318" s="134">
        <f t="shared" si="58"/>
        <v>90000</v>
      </c>
      <c r="AU318" s="134">
        <f t="shared" si="51"/>
        <v>0</v>
      </c>
      <c r="AV318" s="142"/>
      <c r="AW318" s="135"/>
      <c r="AX318" s="135"/>
      <c r="AY318" s="135"/>
      <c r="AZ318" s="135"/>
      <c r="BA318" s="135"/>
      <c r="BB318" s="116"/>
      <c r="BC318" s="113"/>
      <c r="BD318" s="116"/>
      <c r="BE318" s="113"/>
      <c r="BF318" s="116"/>
      <c r="BG318" s="116"/>
      <c r="BH318" s="137">
        <f t="shared" si="52"/>
        <v>270000</v>
      </c>
      <c r="BI318" s="138">
        <f t="shared" si="53"/>
        <v>0</v>
      </c>
      <c r="BJ318" s="126" t="s">
        <v>1366</v>
      </c>
      <c r="BK318" s="91"/>
    </row>
    <row r="319" spans="1:63" ht="15.75">
      <c r="A319" s="123">
        <v>511140</v>
      </c>
      <c r="B319" s="126">
        <v>212630</v>
      </c>
      <c r="C319" s="124" t="s">
        <v>1364</v>
      </c>
      <c r="D319" s="124" t="s">
        <v>1365</v>
      </c>
      <c r="E319" s="125" t="s">
        <v>1362</v>
      </c>
      <c r="F319" s="124" t="s">
        <v>1363</v>
      </c>
      <c r="G319" s="127" t="s">
        <v>46</v>
      </c>
      <c r="H319" s="126" t="s">
        <v>597</v>
      </c>
      <c r="I319" s="126" t="s">
        <v>598</v>
      </c>
      <c r="J319" s="126" t="s">
        <v>888</v>
      </c>
      <c r="K319" s="128" t="s">
        <v>731</v>
      </c>
      <c r="L319" s="121" t="s">
        <v>19</v>
      </c>
      <c r="M319" s="123" t="s">
        <v>1367</v>
      </c>
      <c r="N319" s="129">
        <v>44044</v>
      </c>
      <c r="O319" s="129">
        <v>44408</v>
      </c>
      <c r="P319" s="129">
        <v>44408</v>
      </c>
      <c r="Q319" s="130">
        <v>100000</v>
      </c>
      <c r="R319" s="113"/>
      <c r="S319" s="132">
        <v>92000</v>
      </c>
      <c r="T319" s="132">
        <v>4000</v>
      </c>
      <c r="U319" s="132"/>
      <c r="V319" s="132"/>
      <c r="W319" s="132">
        <v>4000</v>
      </c>
      <c r="X319" s="132"/>
      <c r="Y319" s="111">
        <f>SUM(S319:X319)</f>
        <v>100000</v>
      </c>
      <c r="Z319" s="133">
        <f t="shared" si="60"/>
        <v>100000</v>
      </c>
      <c r="AA319" s="133">
        <f>Y319-Z319</f>
        <v>0</v>
      </c>
      <c r="AB319" s="141">
        <v>0</v>
      </c>
      <c r="AC319" s="132">
        <v>0</v>
      </c>
      <c r="AD319" s="132">
        <v>0</v>
      </c>
      <c r="AE319" s="132">
        <v>0</v>
      </c>
      <c r="AF319" s="132">
        <v>0</v>
      </c>
      <c r="AG319" s="132">
        <v>0</v>
      </c>
      <c r="AH319" s="132">
        <v>0</v>
      </c>
      <c r="AI319" s="111">
        <v>0</v>
      </c>
      <c r="AJ319" s="134">
        <f t="shared" si="59"/>
        <v>0</v>
      </c>
      <c r="AK319" s="134">
        <f t="shared" si="50"/>
        <v>0</v>
      </c>
      <c r="AL319" s="142"/>
      <c r="AM319" s="135">
        <v>0</v>
      </c>
      <c r="AN319" s="135">
        <v>0</v>
      </c>
      <c r="AO319" s="135">
        <v>0</v>
      </c>
      <c r="AP319" s="135">
        <v>0</v>
      </c>
      <c r="AQ319" s="135">
        <v>0</v>
      </c>
      <c r="AR319" s="135">
        <v>0</v>
      </c>
      <c r="AS319" s="116">
        <v>0</v>
      </c>
      <c r="AT319" s="134">
        <f t="shared" si="58"/>
        <v>0</v>
      </c>
      <c r="AU319" s="134">
        <f t="shared" si="51"/>
        <v>0</v>
      </c>
      <c r="AV319" s="142"/>
      <c r="AW319" s="135"/>
      <c r="AX319" s="135"/>
      <c r="AY319" s="135"/>
      <c r="AZ319" s="135"/>
      <c r="BA319" s="135"/>
      <c r="BB319" s="116"/>
      <c r="BC319" s="113"/>
      <c r="BD319" s="116"/>
      <c r="BE319" s="113"/>
      <c r="BF319" s="116"/>
      <c r="BG319" s="116"/>
      <c r="BH319" s="137">
        <f t="shared" si="52"/>
        <v>100000</v>
      </c>
      <c r="BI319" s="138">
        <f t="shared" si="53"/>
        <v>0</v>
      </c>
      <c r="BJ319" s="126"/>
      <c r="BK319" s="91"/>
    </row>
    <row r="320" spans="1:63" ht="15.75">
      <c r="A320" s="123">
        <v>500476</v>
      </c>
      <c r="B320" s="126">
        <v>212636</v>
      </c>
      <c r="C320" s="148" t="s">
        <v>1369</v>
      </c>
      <c r="D320" s="148" t="s">
        <v>1370</v>
      </c>
      <c r="E320" s="125" t="s">
        <v>1368</v>
      </c>
      <c r="F320" s="124" t="s">
        <v>110</v>
      </c>
      <c r="G320" s="127" t="s">
        <v>53</v>
      </c>
      <c r="H320" s="149" t="s">
        <v>597</v>
      </c>
      <c r="I320" s="126" t="s">
        <v>598</v>
      </c>
      <c r="J320" s="126" t="s">
        <v>730</v>
      </c>
      <c r="K320" s="128" t="s">
        <v>735</v>
      </c>
      <c r="L320" s="121" t="s">
        <v>637</v>
      </c>
      <c r="M320" s="123" t="s">
        <v>638</v>
      </c>
      <c r="N320" s="129">
        <v>43110</v>
      </c>
      <c r="O320" s="129">
        <v>42643</v>
      </c>
      <c r="P320" s="129">
        <v>42643</v>
      </c>
      <c r="Q320" s="144">
        <v>100000</v>
      </c>
      <c r="R320" s="132">
        <v>100000</v>
      </c>
      <c r="S320" s="132"/>
      <c r="T320" s="132">
        <v>0</v>
      </c>
      <c r="U320" s="132">
        <v>0</v>
      </c>
      <c r="V320" s="132"/>
      <c r="W320" s="132">
        <v>0</v>
      </c>
      <c r="X320" s="132">
        <v>0</v>
      </c>
      <c r="Y320" s="111">
        <v>100000</v>
      </c>
      <c r="Z320" s="133">
        <f t="shared" si="60"/>
        <v>100000</v>
      </c>
      <c r="AA320" s="133">
        <f t="shared" ref="AA320:AA339" si="61">Z320-Y320</f>
        <v>0</v>
      </c>
      <c r="AB320" s="141"/>
      <c r="AC320" s="132" t="s">
        <v>602</v>
      </c>
      <c r="AD320" s="132" t="s">
        <v>602</v>
      </c>
      <c r="AE320" s="132" t="s">
        <v>602</v>
      </c>
      <c r="AF320" s="132" t="s">
        <v>602</v>
      </c>
      <c r="AG320" s="132" t="s">
        <v>602</v>
      </c>
      <c r="AH320" s="132"/>
      <c r="AI320" s="111">
        <v>0</v>
      </c>
      <c r="AJ320" s="134">
        <f t="shared" si="59"/>
        <v>0</v>
      </c>
      <c r="AK320" s="134">
        <f t="shared" si="50"/>
        <v>0</v>
      </c>
      <c r="AL320" s="142"/>
      <c r="AM320" s="132">
        <v>0</v>
      </c>
      <c r="AN320" s="132">
        <v>0</v>
      </c>
      <c r="AO320" s="132">
        <v>0</v>
      </c>
      <c r="AP320" s="132">
        <v>0</v>
      </c>
      <c r="AQ320" s="132">
        <v>0</v>
      </c>
      <c r="AR320" s="132">
        <v>0</v>
      </c>
      <c r="AS320" s="116">
        <v>0</v>
      </c>
      <c r="AT320" s="134">
        <f t="shared" si="58"/>
        <v>0</v>
      </c>
      <c r="AU320" s="134">
        <f t="shared" si="51"/>
        <v>0</v>
      </c>
      <c r="AV320" s="142"/>
      <c r="AW320" s="132" t="s">
        <v>602</v>
      </c>
      <c r="AX320" s="132" t="s">
        <v>602</v>
      </c>
      <c r="AY320" s="132" t="s">
        <v>602</v>
      </c>
      <c r="AZ320" s="132" t="s">
        <v>602</v>
      </c>
      <c r="BA320" s="132" t="s">
        <v>602</v>
      </c>
      <c r="BB320" s="116"/>
      <c r="BC320" s="113"/>
      <c r="BD320" s="116"/>
      <c r="BE320" s="113"/>
      <c r="BF320" s="116"/>
      <c r="BG320" s="116"/>
      <c r="BH320" s="137">
        <f t="shared" si="52"/>
        <v>100000</v>
      </c>
      <c r="BI320" s="138">
        <f t="shared" si="53"/>
        <v>0</v>
      </c>
      <c r="BJ320" s="147"/>
      <c r="BK320" s="91"/>
    </row>
    <row r="321" spans="1:63" ht="15.75">
      <c r="A321" s="123">
        <v>500689</v>
      </c>
      <c r="B321" s="126">
        <v>212636</v>
      </c>
      <c r="C321" s="148" t="s">
        <v>1369</v>
      </c>
      <c r="D321" s="148" t="s">
        <v>1370</v>
      </c>
      <c r="E321" s="125" t="s">
        <v>1368</v>
      </c>
      <c r="F321" s="124" t="s">
        <v>110</v>
      </c>
      <c r="G321" s="127" t="s">
        <v>53</v>
      </c>
      <c r="H321" s="149" t="s">
        <v>597</v>
      </c>
      <c r="I321" s="126" t="s">
        <v>598</v>
      </c>
      <c r="J321" s="126" t="s">
        <v>730</v>
      </c>
      <c r="K321" s="128" t="s">
        <v>735</v>
      </c>
      <c r="L321" s="121" t="s">
        <v>1034</v>
      </c>
      <c r="M321" s="123" t="s">
        <v>661</v>
      </c>
      <c r="N321" s="129">
        <v>42461</v>
      </c>
      <c r="O321" s="129">
        <v>43555</v>
      </c>
      <c r="P321" s="129">
        <v>43555</v>
      </c>
      <c r="Q321" s="144">
        <v>75000</v>
      </c>
      <c r="R321" s="150"/>
      <c r="S321" s="132">
        <v>25000</v>
      </c>
      <c r="T321" s="132">
        <v>0</v>
      </c>
      <c r="U321" s="132">
        <v>0</v>
      </c>
      <c r="V321" s="132"/>
      <c r="W321" s="132">
        <v>0</v>
      </c>
      <c r="X321" s="132">
        <v>0</v>
      </c>
      <c r="Y321" s="111">
        <v>25000</v>
      </c>
      <c r="Z321" s="133">
        <f t="shared" si="60"/>
        <v>25000</v>
      </c>
      <c r="AA321" s="133">
        <f t="shared" si="61"/>
        <v>0</v>
      </c>
      <c r="AB321" s="141"/>
      <c r="AC321" s="132">
        <v>25000</v>
      </c>
      <c r="AD321" s="132">
        <v>0</v>
      </c>
      <c r="AE321" s="132">
        <v>0</v>
      </c>
      <c r="AF321" s="132">
        <v>0</v>
      </c>
      <c r="AG321" s="132">
        <v>0</v>
      </c>
      <c r="AH321" s="132"/>
      <c r="AI321" s="111">
        <v>25000</v>
      </c>
      <c r="AJ321" s="134">
        <f t="shared" si="59"/>
        <v>25000</v>
      </c>
      <c r="AK321" s="134">
        <f t="shared" si="50"/>
        <v>0</v>
      </c>
      <c r="AL321" s="142"/>
      <c r="AM321" s="132">
        <v>25000</v>
      </c>
      <c r="AN321" s="132">
        <v>0</v>
      </c>
      <c r="AO321" s="132">
        <v>0</v>
      </c>
      <c r="AP321" s="132">
        <v>0</v>
      </c>
      <c r="AQ321" s="132">
        <v>0</v>
      </c>
      <c r="AR321" s="135">
        <v>0</v>
      </c>
      <c r="AS321" s="116">
        <v>25000</v>
      </c>
      <c r="AT321" s="134">
        <f t="shared" si="58"/>
        <v>25000</v>
      </c>
      <c r="AU321" s="134">
        <f t="shared" si="51"/>
        <v>0</v>
      </c>
      <c r="AV321" s="142"/>
      <c r="AW321" s="135" t="s">
        <v>602</v>
      </c>
      <c r="AX321" s="135" t="s">
        <v>602</v>
      </c>
      <c r="AY321" s="135" t="s">
        <v>602</v>
      </c>
      <c r="AZ321" s="135" t="s">
        <v>602</v>
      </c>
      <c r="BA321" s="135" t="s">
        <v>602</v>
      </c>
      <c r="BB321" s="116"/>
      <c r="BC321" s="113"/>
      <c r="BD321" s="116"/>
      <c r="BE321" s="113"/>
      <c r="BF321" s="116"/>
      <c r="BG321" s="116"/>
      <c r="BH321" s="137">
        <f t="shared" si="52"/>
        <v>75000</v>
      </c>
      <c r="BI321" s="138">
        <f t="shared" si="53"/>
        <v>0</v>
      </c>
      <c r="BJ321" s="147" t="s">
        <v>1035</v>
      </c>
      <c r="BK321" s="91"/>
    </row>
    <row r="322" spans="1:63" ht="15.75">
      <c r="A322" s="123">
        <v>501336</v>
      </c>
      <c r="B322" s="126">
        <v>212636</v>
      </c>
      <c r="C322" s="148" t="s">
        <v>1369</v>
      </c>
      <c r="D322" s="148" t="s">
        <v>1370</v>
      </c>
      <c r="E322" s="125" t="s">
        <v>1368</v>
      </c>
      <c r="F322" s="124" t="s">
        <v>110</v>
      </c>
      <c r="G322" s="127" t="s">
        <v>53</v>
      </c>
      <c r="H322" s="149" t="s">
        <v>597</v>
      </c>
      <c r="I322" s="126" t="s">
        <v>598</v>
      </c>
      <c r="J322" s="126" t="s">
        <v>730</v>
      </c>
      <c r="K322" s="128" t="s">
        <v>735</v>
      </c>
      <c r="L322" s="121" t="s">
        <v>515</v>
      </c>
      <c r="M322" s="123" t="s">
        <v>712</v>
      </c>
      <c r="N322" s="129">
        <v>42614</v>
      </c>
      <c r="O322" s="129">
        <v>43708</v>
      </c>
      <c r="P322" s="129">
        <v>44145</v>
      </c>
      <c r="Q322" s="144">
        <v>635381</v>
      </c>
      <c r="R322" s="150"/>
      <c r="S322" s="132">
        <v>75000</v>
      </c>
      <c r="T322" s="132">
        <v>0</v>
      </c>
      <c r="U322" s="132">
        <v>100000</v>
      </c>
      <c r="V322" s="132"/>
      <c r="W322" s="132">
        <v>36794</v>
      </c>
      <c r="X322" s="132">
        <v>0</v>
      </c>
      <c r="Y322" s="111">
        <v>211794</v>
      </c>
      <c r="Z322" s="133">
        <f t="shared" si="60"/>
        <v>211794</v>
      </c>
      <c r="AA322" s="133">
        <f t="shared" si="61"/>
        <v>0</v>
      </c>
      <c r="AB322" s="141"/>
      <c r="AC322" s="132">
        <v>75000</v>
      </c>
      <c r="AD322" s="132">
        <v>0</v>
      </c>
      <c r="AE322" s="132">
        <v>100000</v>
      </c>
      <c r="AF322" s="132">
        <v>36794</v>
      </c>
      <c r="AG322" s="132">
        <v>0</v>
      </c>
      <c r="AH322" s="132"/>
      <c r="AI322" s="111">
        <v>211794</v>
      </c>
      <c r="AJ322" s="134">
        <f t="shared" si="59"/>
        <v>211794</v>
      </c>
      <c r="AK322" s="134">
        <f t="shared" ref="AK322:AK339" si="62">AJ322-AI322</f>
        <v>0</v>
      </c>
      <c r="AL322" s="142"/>
      <c r="AM322" s="135">
        <v>75000</v>
      </c>
      <c r="AN322" s="135">
        <v>0</v>
      </c>
      <c r="AO322" s="135">
        <v>100000</v>
      </c>
      <c r="AP322" s="135"/>
      <c r="AQ322" s="135">
        <v>36793</v>
      </c>
      <c r="AR322" s="135">
        <v>0</v>
      </c>
      <c r="AS322" s="116">
        <v>211793</v>
      </c>
      <c r="AT322" s="134">
        <f t="shared" si="58"/>
        <v>211793</v>
      </c>
      <c r="AU322" s="134">
        <f t="shared" ref="AU322:AU339" si="63">AT322-AS322</f>
        <v>0</v>
      </c>
      <c r="AV322" s="142"/>
      <c r="AW322" s="135"/>
      <c r="AX322" s="135"/>
      <c r="AY322" s="135"/>
      <c r="AZ322" s="135"/>
      <c r="BA322" s="135"/>
      <c r="BB322" s="116"/>
      <c r="BC322" s="113"/>
      <c r="BD322" s="116"/>
      <c r="BE322" s="113"/>
      <c r="BF322" s="116"/>
      <c r="BG322" s="116"/>
      <c r="BH322" s="137">
        <f t="shared" ref="BH322:BH339" si="64">SUM(AS322,AI322,Y322,BB322,BD322,BF322,BG322)</f>
        <v>635381</v>
      </c>
      <c r="BI322" s="138">
        <f t="shared" ref="BI322:BI339" si="65">BH322-Q322</f>
        <v>0</v>
      </c>
      <c r="BJ322" s="147"/>
      <c r="BK322" s="91"/>
    </row>
    <row r="323" spans="1:63" ht="15.75">
      <c r="A323" s="123">
        <v>501340</v>
      </c>
      <c r="B323" s="126">
        <v>212636</v>
      </c>
      <c r="C323" s="148" t="s">
        <v>1369</v>
      </c>
      <c r="D323" s="148" t="s">
        <v>1370</v>
      </c>
      <c r="E323" s="125" t="s">
        <v>1368</v>
      </c>
      <c r="F323" s="124" t="s">
        <v>110</v>
      </c>
      <c r="G323" s="127" t="s">
        <v>53</v>
      </c>
      <c r="H323" s="149" t="s">
        <v>628</v>
      </c>
      <c r="I323" s="126" t="s">
        <v>598</v>
      </c>
      <c r="J323" s="126" t="s">
        <v>730</v>
      </c>
      <c r="K323" s="128" t="s">
        <v>735</v>
      </c>
      <c r="L323" s="121" t="s">
        <v>515</v>
      </c>
      <c r="M323" s="123" t="s">
        <v>698</v>
      </c>
      <c r="N323" s="129">
        <v>42614</v>
      </c>
      <c r="O323" s="129">
        <v>43708</v>
      </c>
      <c r="P323" s="129">
        <v>43708</v>
      </c>
      <c r="Q323" s="144">
        <v>348000</v>
      </c>
      <c r="R323" s="150"/>
      <c r="S323" s="132">
        <v>50000</v>
      </c>
      <c r="T323" s="132">
        <v>0</v>
      </c>
      <c r="U323" s="132">
        <v>50000</v>
      </c>
      <c r="V323" s="132"/>
      <c r="W323" s="132">
        <v>16000</v>
      </c>
      <c r="X323" s="132">
        <v>0</v>
      </c>
      <c r="Y323" s="111">
        <v>116000</v>
      </c>
      <c r="Z323" s="133">
        <f t="shared" si="60"/>
        <v>116000</v>
      </c>
      <c r="AA323" s="133">
        <f t="shared" si="61"/>
        <v>0</v>
      </c>
      <c r="AB323" s="141"/>
      <c r="AC323" s="132">
        <v>50000</v>
      </c>
      <c r="AD323" s="132">
        <v>0</v>
      </c>
      <c r="AE323" s="132">
        <v>50000</v>
      </c>
      <c r="AF323" s="132">
        <v>16000</v>
      </c>
      <c r="AG323" s="132">
        <v>0</v>
      </c>
      <c r="AH323" s="132"/>
      <c r="AI323" s="111">
        <v>116000</v>
      </c>
      <c r="AJ323" s="134">
        <f t="shared" si="59"/>
        <v>116000</v>
      </c>
      <c r="AK323" s="134">
        <f t="shared" si="62"/>
        <v>0</v>
      </c>
      <c r="AL323" s="142"/>
      <c r="AM323" s="135">
        <v>50000</v>
      </c>
      <c r="AN323" s="135">
        <v>0</v>
      </c>
      <c r="AO323" s="135">
        <v>50000</v>
      </c>
      <c r="AP323" s="135"/>
      <c r="AQ323" s="135">
        <v>16000</v>
      </c>
      <c r="AR323" s="135">
        <v>0</v>
      </c>
      <c r="AS323" s="116">
        <v>116000</v>
      </c>
      <c r="AT323" s="134">
        <f t="shared" si="58"/>
        <v>116000</v>
      </c>
      <c r="AU323" s="134">
        <f t="shared" si="63"/>
        <v>0</v>
      </c>
      <c r="AV323" s="142"/>
      <c r="AW323" s="135"/>
      <c r="AX323" s="135"/>
      <c r="AY323" s="135"/>
      <c r="AZ323" s="135"/>
      <c r="BA323" s="135"/>
      <c r="BB323" s="116"/>
      <c r="BC323" s="113"/>
      <c r="BD323" s="116"/>
      <c r="BE323" s="113"/>
      <c r="BF323" s="116"/>
      <c r="BG323" s="116"/>
      <c r="BH323" s="137">
        <f t="shared" si="64"/>
        <v>348000</v>
      </c>
      <c r="BI323" s="138">
        <f t="shared" si="65"/>
        <v>0</v>
      </c>
      <c r="BJ323" s="147"/>
      <c r="BK323" s="91"/>
    </row>
    <row r="324" spans="1:63" ht="15.75">
      <c r="A324" s="123">
        <v>501380</v>
      </c>
      <c r="B324" s="126">
        <v>212636</v>
      </c>
      <c r="C324" s="148" t="s">
        <v>1369</v>
      </c>
      <c r="D324" s="148" t="s">
        <v>1370</v>
      </c>
      <c r="E324" s="125" t="s">
        <v>1368</v>
      </c>
      <c r="F324" s="124" t="s">
        <v>110</v>
      </c>
      <c r="G324" s="127" t="s">
        <v>53</v>
      </c>
      <c r="H324" s="149" t="s">
        <v>628</v>
      </c>
      <c r="I324" s="126" t="s">
        <v>598</v>
      </c>
      <c r="J324" s="126" t="s">
        <v>730</v>
      </c>
      <c r="K324" s="128" t="s">
        <v>735</v>
      </c>
      <c r="L324" s="121" t="s">
        <v>515</v>
      </c>
      <c r="M324" s="123" t="s">
        <v>982</v>
      </c>
      <c r="N324" s="129">
        <v>42614</v>
      </c>
      <c r="O324" s="129">
        <v>44104</v>
      </c>
      <c r="P324" s="129">
        <v>44149</v>
      </c>
      <c r="Q324" s="144">
        <v>75000</v>
      </c>
      <c r="R324" s="150"/>
      <c r="S324" s="132">
        <v>0</v>
      </c>
      <c r="T324" s="132">
        <v>0</v>
      </c>
      <c r="U324" s="132">
        <v>25000</v>
      </c>
      <c r="V324" s="132"/>
      <c r="W324" s="132">
        <v>0</v>
      </c>
      <c r="X324" s="132">
        <v>0</v>
      </c>
      <c r="Y324" s="111">
        <v>25000</v>
      </c>
      <c r="Z324" s="133">
        <f t="shared" si="60"/>
        <v>25000</v>
      </c>
      <c r="AA324" s="133">
        <f t="shared" si="61"/>
        <v>0</v>
      </c>
      <c r="AB324" s="141"/>
      <c r="AC324" s="132">
        <v>0</v>
      </c>
      <c r="AD324" s="132">
        <v>0</v>
      </c>
      <c r="AE324" s="132">
        <v>25000</v>
      </c>
      <c r="AF324" s="132">
        <v>0</v>
      </c>
      <c r="AG324" s="132">
        <v>0</v>
      </c>
      <c r="AH324" s="132"/>
      <c r="AI324" s="111">
        <v>25000</v>
      </c>
      <c r="AJ324" s="134">
        <f t="shared" si="59"/>
        <v>25000</v>
      </c>
      <c r="AK324" s="134">
        <f t="shared" si="62"/>
        <v>0</v>
      </c>
      <c r="AL324" s="142"/>
      <c r="AM324" s="135">
        <v>0</v>
      </c>
      <c r="AN324" s="135">
        <v>0</v>
      </c>
      <c r="AO324" s="135">
        <v>25000</v>
      </c>
      <c r="AP324" s="135"/>
      <c r="AQ324" s="135">
        <v>0</v>
      </c>
      <c r="AR324" s="135">
        <v>0</v>
      </c>
      <c r="AS324" s="116">
        <v>25000</v>
      </c>
      <c r="AT324" s="134">
        <f t="shared" si="58"/>
        <v>25000</v>
      </c>
      <c r="AU324" s="134">
        <f t="shared" si="63"/>
        <v>0</v>
      </c>
      <c r="AV324" s="142"/>
      <c r="AW324" s="135"/>
      <c r="AX324" s="135"/>
      <c r="AY324" s="135"/>
      <c r="AZ324" s="135"/>
      <c r="BA324" s="135"/>
      <c r="BB324" s="116"/>
      <c r="BC324" s="113"/>
      <c r="BD324" s="116"/>
      <c r="BE324" s="113"/>
      <c r="BF324" s="116"/>
      <c r="BG324" s="116"/>
      <c r="BH324" s="137">
        <f t="shared" si="64"/>
        <v>75000</v>
      </c>
      <c r="BI324" s="138">
        <f t="shared" si="65"/>
        <v>0</v>
      </c>
      <c r="BJ324" s="147"/>
      <c r="BK324" s="91"/>
    </row>
    <row r="325" spans="1:63" ht="15.75">
      <c r="A325" s="123">
        <v>507637</v>
      </c>
      <c r="B325" s="126">
        <v>212636</v>
      </c>
      <c r="C325" s="124" t="s">
        <v>1369</v>
      </c>
      <c r="D325" s="124" t="s">
        <v>1370</v>
      </c>
      <c r="E325" s="124" t="s">
        <v>1368</v>
      </c>
      <c r="F325" s="124" t="s">
        <v>110</v>
      </c>
      <c r="G325" s="127" t="s">
        <v>53</v>
      </c>
      <c r="H325" s="126" t="s">
        <v>628</v>
      </c>
      <c r="I325" s="126" t="s">
        <v>598</v>
      </c>
      <c r="J325" s="126" t="s">
        <v>730</v>
      </c>
      <c r="K325" s="128" t="s">
        <v>735</v>
      </c>
      <c r="L325" s="121" t="s">
        <v>519</v>
      </c>
      <c r="M325" s="123" t="s">
        <v>736</v>
      </c>
      <c r="N325" s="129">
        <v>43709</v>
      </c>
      <c r="O325" s="129">
        <v>44530</v>
      </c>
      <c r="P325" s="129">
        <v>44530</v>
      </c>
      <c r="Q325" s="130">
        <f>63750+63750</f>
        <v>127500</v>
      </c>
      <c r="R325" s="113"/>
      <c r="S325" s="132">
        <v>29000</v>
      </c>
      <c r="T325" s="132"/>
      <c r="U325" s="132">
        <v>34750</v>
      </c>
      <c r="V325" s="132"/>
      <c r="W325" s="132"/>
      <c r="X325" s="132"/>
      <c r="Y325" s="111">
        <v>63750</v>
      </c>
      <c r="Z325" s="133">
        <f t="shared" si="60"/>
        <v>63750</v>
      </c>
      <c r="AA325" s="133">
        <f t="shared" si="61"/>
        <v>0</v>
      </c>
      <c r="AB325" s="141"/>
      <c r="AC325" s="132">
        <v>29000</v>
      </c>
      <c r="AD325" s="132"/>
      <c r="AE325" s="132">
        <v>34750</v>
      </c>
      <c r="AF325" s="132"/>
      <c r="AG325" s="132"/>
      <c r="AH325" s="132"/>
      <c r="AI325" s="111">
        <v>63750</v>
      </c>
      <c r="AJ325" s="134">
        <f t="shared" si="59"/>
        <v>63750</v>
      </c>
      <c r="AK325" s="134">
        <f t="shared" si="62"/>
        <v>0</v>
      </c>
      <c r="AL325" s="142"/>
      <c r="AM325" s="132">
        <v>29000</v>
      </c>
      <c r="AN325" s="132"/>
      <c r="AO325" s="132">
        <v>34750</v>
      </c>
      <c r="AP325" s="135"/>
      <c r="AQ325" s="135"/>
      <c r="AR325" s="135"/>
      <c r="AS325" s="116">
        <f>SUM(AM325:AR325)</f>
        <v>63750</v>
      </c>
      <c r="AT325" s="134">
        <f t="shared" si="58"/>
        <v>63750</v>
      </c>
      <c r="AU325" s="134">
        <f t="shared" si="63"/>
        <v>0</v>
      </c>
      <c r="AV325" s="142"/>
      <c r="AW325" s="135"/>
      <c r="AX325" s="135"/>
      <c r="AY325" s="135"/>
      <c r="AZ325" s="135"/>
      <c r="BA325" s="135"/>
      <c r="BB325" s="116"/>
      <c r="BC325" s="113"/>
      <c r="BD325" s="116"/>
      <c r="BE325" s="113"/>
      <c r="BF325" s="116"/>
      <c r="BG325" s="116"/>
      <c r="BH325" s="137">
        <f t="shared" si="64"/>
        <v>191250</v>
      </c>
      <c r="BI325" s="138">
        <f t="shared" si="65"/>
        <v>63750</v>
      </c>
      <c r="BJ325" s="126"/>
      <c r="BK325" s="91"/>
    </row>
    <row r="326" spans="1:63" ht="15.75">
      <c r="A326" s="123">
        <v>507693</v>
      </c>
      <c r="B326" s="126">
        <v>212636</v>
      </c>
      <c r="C326" s="124" t="s">
        <v>1369</v>
      </c>
      <c r="D326" s="124" t="s">
        <v>1370</v>
      </c>
      <c r="E326" s="124" t="s">
        <v>1368</v>
      </c>
      <c r="F326" s="124" t="s">
        <v>110</v>
      </c>
      <c r="G326" s="127" t="s">
        <v>53</v>
      </c>
      <c r="H326" s="126" t="s">
        <v>597</v>
      </c>
      <c r="I326" s="126" t="s">
        <v>598</v>
      </c>
      <c r="J326" s="126" t="s">
        <v>730</v>
      </c>
      <c r="K326" s="128" t="s">
        <v>735</v>
      </c>
      <c r="L326" s="121" t="s">
        <v>519</v>
      </c>
      <c r="M326" s="123" t="s">
        <v>717</v>
      </c>
      <c r="N326" s="129">
        <v>43709</v>
      </c>
      <c r="O326" s="129">
        <v>44530</v>
      </c>
      <c r="P326" s="129">
        <v>44530</v>
      </c>
      <c r="Q326" s="130">
        <f>108370+108370</f>
        <v>216740</v>
      </c>
      <c r="R326" s="113"/>
      <c r="S326" s="132">
        <v>60000</v>
      </c>
      <c r="T326" s="132"/>
      <c r="U326" s="132">
        <v>25000</v>
      </c>
      <c r="V326" s="132">
        <v>3000</v>
      </c>
      <c r="W326" s="132">
        <v>15000</v>
      </c>
      <c r="X326" s="132">
        <v>5370</v>
      </c>
      <c r="Y326" s="111">
        <v>108370</v>
      </c>
      <c r="Z326" s="133">
        <f t="shared" si="60"/>
        <v>108370</v>
      </c>
      <c r="AA326" s="133">
        <f t="shared" si="61"/>
        <v>0</v>
      </c>
      <c r="AB326" s="141"/>
      <c r="AC326" s="132">
        <v>60000</v>
      </c>
      <c r="AD326" s="132"/>
      <c r="AE326" s="132">
        <v>25000</v>
      </c>
      <c r="AF326" s="132">
        <v>3000</v>
      </c>
      <c r="AG326" s="132">
        <v>15000</v>
      </c>
      <c r="AH326" s="132">
        <v>5370</v>
      </c>
      <c r="AI326" s="111">
        <v>108370</v>
      </c>
      <c r="AJ326" s="134">
        <f t="shared" si="59"/>
        <v>108370</v>
      </c>
      <c r="AK326" s="134">
        <f t="shared" si="62"/>
        <v>0</v>
      </c>
      <c r="AL326" s="142"/>
      <c r="AM326" s="132">
        <v>60000</v>
      </c>
      <c r="AN326" s="132"/>
      <c r="AO326" s="132">
        <v>25000</v>
      </c>
      <c r="AP326" s="132">
        <v>3000</v>
      </c>
      <c r="AQ326" s="132">
        <v>15000</v>
      </c>
      <c r="AR326" s="132">
        <v>5370</v>
      </c>
      <c r="AS326" s="116">
        <f>SUM(AM326:AR326)</f>
        <v>108370</v>
      </c>
      <c r="AT326" s="134">
        <f t="shared" si="58"/>
        <v>108370</v>
      </c>
      <c r="AU326" s="134">
        <f t="shared" si="63"/>
        <v>0</v>
      </c>
      <c r="AV326" s="142"/>
      <c r="AW326" s="135"/>
      <c r="AX326" s="135"/>
      <c r="AY326" s="135"/>
      <c r="AZ326" s="135"/>
      <c r="BA326" s="135"/>
      <c r="BB326" s="116"/>
      <c r="BC326" s="113"/>
      <c r="BD326" s="116"/>
      <c r="BE326" s="113"/>
      <c r="BF326" s="116"/>
      <c r="BG326" s="116"/>
      <c r="BH326" s="137">
        <f t="shared" si="64"/>
        <v>325110</v>
      </c>
      <c r="BI326" s="138">
        <f t="shared" si="65"/>
        <v>108370</v>
      </c>
      <c r="BJ326" s="126"/>
      <c r="BK326" s="91"/>
    </row>
    <row r="327" spans="1:63" ht="15.75">
      <c r="A327" s="123">
        <v>502687</v>
      </c>
      <c r="B327" s="126">
        <v>212639</v>
      </c>
      <c r="C327" s="124" t="s">
        <v>825</v>
      </c>
      <c r="D327" s="124" t="s">
        <v>826</v>
      </c>
      <c r="E327" s="125" t="s">
        <v>823</v>
      </c>
      <c r="F327" s="124" t="s">
        <v>824</v>
      </c>
      <c r="G327" s="127" t="s">
        <v>46</v>
      </c>
      <c r="H327" s="126" t="s">
        <v>597</v>
      </c>
      <c r="I327" s="126" t="s">
        <v>609</v>
      </c>
      <c r="J327" s="126" t="s">
        <v>610</v>
      </c>
      <c r="K327" s="149" t="s">
        <v>611</v>
      </c>
      <c r="L327" s="121" t="s">
        <v>19</v>
      </c>
      <c r="M327" s="123" t="s">
        <v>1084</v>
      </c>
      <c r="N327" s="129">
        <v>42826</v>
      </c>
      <c r="O327" s="129">
        <v>43830</v>
      </c>
      <c r="P327" s="129">
        <v>44106</v>
      </c>
      <c r="Q327" s="130">
        <v>175084</v>
      </c>
      <c r="R327" s="113"/>
      <c r="S327" s="132">
        <v>27492</v>
      </c>
      <c r="T327" s="132">
        <v>23600</v>
      </c>
      <c r="U327" s="132">
        <v>36000</v>
      </c>
      <c r="V327" s="132">
        <v>0</v>
      </c>
      <c r="W327" s="132">
        <v>12800</v>
      </c>
      <c r="X327" s="132">
        <v>0</v>
      </c>
      <c r="Y327" s="111">
        <v>99892</v>
      </c>
      <c r="Z327" s="133">
        <f t="shared" si="60"/>
        <v>99892</v>
      </c>
      <c r="AA327" s="133">
        <f t="shared" si="61"/>
        <v>0</v>
      </c>
      <c r="AB327" s="141"/>
      <c r="AC327" s="132">
        <v>72992</v>
      </c>
      <c r="AD327" s="132">
        <v>0</v>
      </c>
      <c r="AE327" s="132">
        <v>0</v>
      </c>
      <c r="AF327" s="132"/>
      <c r="AG327" s="132">
        <v>2200</v>
      </c>
      <c r="AH327" s="132"/>
      <c r="AI327" s="111">
        <v>75192</v>
      </c>
      <c r="AJ327" s="134">
        <f t="shared" si="59"/>
        <v>75192</v>
      </c>
      <c r="AK327" s="134">
        <f t="shared" si="62"/>
        <v>0</v>
      </c>
      <c r="AL327" s="145"/>
      <c r="AM327" s="132" t="s">
        <v>602</v>
      </c>
      <c r="AN327" s="132" t="s">
        <v>602</v>
      </c>
      <c r="AO327" s="132" t="s">
        <v>602</v>
      </c>
      <c r="AP327" s="132" t="s">
        <v>602</v>
      </c>
      <c r="AQ327" s="132" t="s">
        <v>602</v>
      </c>
      <c r="AR327" s="135" t="s">
        <v>602</v>
      </c>
      <c r="AS327" s="116">
        <v>0</v>
      </c>
      <c r="AT327" s="134">
        <f t="shared" si="58"/>
        <v>0</v>
      </c>
      <c r="AU327" s="134">
        <f t="shared" si="63"/>
        <v>0</v>
      </c>
      <c r="AV327" s="142"/>
      <c r="AW327" s="135"/>
      <c r="AX327" s="135"/>
      <c r="AY327" s="135"/>
      <c r="AZ327" s="135"/>
      <c r="BA327" s="135"/>
      <c r="BB327" s="116"/>
      <c r="BC327" s="113"/>
      <c r="BD327" s="116"/>
      <c r="BE327" s="113"/>
      <c r="BF327" s="116"/>
      <c r="BG327" s="116"/>
      <c r="BH327" s="137">
        <f t="shared" si="64"/>
        <v>175084</v>
      </c>
      <c r="BI327" s="138">
        <f t="shared" si="65"/>
        <v>0</v>
      </c>
      <c r="BJ327" s="124" t="s">
        <v>1371</v>
      </c>
      <c r="BK327" s="91"/>
    </row>
    <row r="328" spans="1:63" ht="15.75">
      <c r="A328" s="123">
        <v>504320</v>
      </c>
      <c r="B328" s="126">
        <v>212639</v>
      </c>
      <c r="C328" s="124" t="s">
        <v>825</v>
      </c>
      <c r="D328" s="124" t="s">
        <v>826</v>
      </c>
      <c r="E328" s="125" t="s">
        <v>823</v>
      </c>
      <c r="F328" s="124" t="s">
        <v>824</v>
      </c>
      <c r="G328" s="127" t="s">
        <v>46</v>
      </c>
      <c r="H328" s="126" t="s">
        <v>597</v>
      </c>
      <c r="I328" s="126" t="s">
        <v>609</v>
      </c>
      <c r="J328" s="126" t="s">
        <v>818</v>
      </c>
      <c r="K328" s="178" t="s">
        <v>866</v>
      </c>
      <c r="L328" s="121" t="s">
        <v>517</v>
      </c>
      <c r="M328" s="123" t="s">
        <v>1372</v>
      </c>
      <c r="N328" s="129">
        <v>43221</v>
      </c>
      <c r="O328" s="129">
        <v>44286</v>
      </c>
      <c r="P328" s="129">
        <v>44286</v>
      </c>
      <c r="Q328" s="130">
        <f>95833+50000</f>
        <v>145833</v>
      </c>
      <c r="R328" s="113"/>
      <c r="S328" s="132">
        <v>45833</v>
      </c>
      <c r="T328" s="132">
        <v>0</v>
      </c>
      <c r="U328" s="132">
        <v>0</v>
      </c>
      <c r="V328" s="132"/>
      <c r="W328" s="132">
        <v>0</v>
      </c>
      <c r="X328" s="132">
        <v>0</v>
      </c>
      <c r="Y328" s="111">
        <v>45833</v>
      </c>
      <c r="Z328" s="133">
        <f t="shared" si="60"/>
        <v>45833</v>
      </c>
      <c r="AA328" s="133">
        <f t="shared" si="61"/>
        <v>0</v>
      </c>
      <c r="AB328" s="141"/>
      <c r="AC328" s="132">
        <v>50000</v>
      </c>
      <c r="AD328" s="132">
        <v>0</v>
      </c>
      <c r="AE328" s="132">
        <v>0</v>
      </c>
      <c r="AF328" s="132">
        <v>0</v>
      </c>
      <c r="AG328" s="132">
        <v>0</v>
      </c>
      <c r="AH328" s="132"/>
      <c r="AI328" s="111">
        <v>50000</v>
      </c>
      <c r="AJ328" s="134">
        <f t="shared" si="59"/>
        <v>50000</v>
      </c>
      <c r="AK328" s="134">
        <f t="shared" si="62"/>
        <v>0</v>
      </c>
      <c r="AL328" s="142"/>
      <c r="AM328" s="132">
        <v>50000</v>
      </c>
      <c r="AN328" s="132">
        <v>0</v>
      </c>
      <c r="AO328" s="132">
        <v>0</v>
      </c>
      <c r="AP328" s="132">
        <v>0</v>
      </c>
      <c r="AQ328" s="132">
        <v>0</v>
      </c>
      <c r="AR328" s="135">
        <v>0</v>
      </c>
      <c r="AS328" s="116">
        <v>50000</v>
      </c>
      <c r="AT328" s="134">
        <f t="shared" ref="AT328:AT339" si="66">SUM(AL328:AR328)</f>
        <v>50000</v>
      </c>
      <c r="AU328" s="134">
        <f t="shared" si="63"/>
        <v>0</v>
      </c>
      <c r="AV328" s="142"/>
      <c r="AW328" s="135"/>
      <c r="AX328" s="135"/>
      <c r="AY328" s="135"/>
      <c r="AZ328" s="135"/>
      <c r="BA328" s="135"/>
      <c r="BB328" s="116"/>
      <c r="BC328" s="113"/>
      <c r="BD328" s="116"/>
      <c r="BE328" s="113"/>
      <c r="BF328" s="116"/>
      <c r="BG328" s="116"/>
      <c r="BH328" s="137">
        <f t="shared" si="64"/>
        <v>145833</v>
      </c>
      <c r="BI328" s="138">
        <f t="shared" si="65"/>
        <v>0</v>
      </c>
      <c r="BJ328" s="126" t="s">
        <v>1373</v>
      </c>
      <c r="BK328" s="91"/>
    </row>
    <row r="329" spans="1:63" ht="15.75">
      <c r="A329" s="123">
        <v>500024</v>
      </c>
      <c r="B329" s="126">
        <v>212689</v>
      </c>
      <c r="C329" s="149" t="s">
        <v>1376</v>
      </c>
      <c r="D329" s="149" t="s">
        <v>1377</v>
      </c>
      <c r="E329" s="125" t="s">
        <v>1374</v>
      </c>
      <c r="F329" s="124" t="s">
        <v>1375</v>
      </c>
      <c r="G329" s="127" t="s">
        <v>46</v>
      </c>
      <c r="H329" s="149" t="s">
        <v>597</v>
      </c>
      <c r="I329" s="126" t="s">
        <v>598</v>
      </c>
      <c r="J329" s="126" t="s">
        <v>696</v>
      </c>
      <c r="K329" s="128" t="s">
        <v>697</v>
      </c>
      <c r="L329" s="121" t="s">
        <v>637</v>
      </c>
      <c r="M329" s="123" t="s">
        <v>638</v>
      </c>
      <c r="N329" s="129">
        <v>42248</v>
      </c>
      <c r="O329" s="129">
        <v>42643</v>
      </c>
      <c r="P329" s="129">
        <v>42674</v>
      </c>
      <c r="Q329" s="144">
        <v>118835</v>
      </c>
      <c r="R329" s="132">
        <v>118835</v>
      </c>
      <c r="S329" s="132"/>
      <c r="T329" s="132">
        <v>0</v>
      </c>
      <c r="U329" s="132">
        <v>0</v>
      </c>
      <c r="V329" s="132"/>
      <c r="W329" s="132">
        <v>0</v>
      </c>
      <c r="X329" s="132">
        <v>0</v>
      </c>
      <c r="Y329" s="111">
        <v>118835</v>
      </c>
      <c r="Z329" s="133">
        <f t="shared" si="60"/>
        <v>118835</v>
      </c>
      <c r="AA329" s="133">
        <f t="shared" si="61"/>
        <v>0</v>
      </c>
      <c r="AB329" s="141"/>
      <c r="AC329" s="132" t="s">
        <v>602</v>
      </c>
      <c r="AD329" s="132" t="s">
        <v>602</v>
      </c>
      <c r="AE329" s="132" t="s">
        <v>602</v>
      </c>
      <c r="AF329" s="132" t="s">
        <v>602</v>
      </c>
      <c r="AG329" s="132" t="s">
        <v>602</v>
      </c>
      <c r="AH329" s="132"/>
      <c r="AI329" s="111">
        <v>0</v>
      </c>
      <c r="AJ329" s="134">
        <f t="shared" si="59"/>
        <v>0</v>
      </c>
      <c r="AK329" s="134">
        <f t="shared" si="62"/>
        <v>0</v>
      </c>
      <c r="AL329" s="142"/>
      <c r="AM329" s="132">
        <v>0</v>
      </c>
      <c r="AN329" s="132">
        <v>0</v>
      </c>
      <c r="AO329" s="132">
        <v>0</v>
      </c>
      <c r="AP329" s="132">
        <v>0</v>
      </c>
      <c r="AQ329" s="132">
        <v>0</v>
      </c>
      <c r="AR329" s="132">
        <v>0</v>
      </c>
      <c r="AS329" s="116">
        <v>0</v>
      </c>
      <c r="AT329" s="134">
        <f t="shared" si="66"/>
        <v>0</v>
      </c>
      <c r="AU329" s="134">
        <f t="shared" si="63"/>
        <v>0</v>
      </c>
      <c r="AV329" s="142"/>
      <c r="AW329" s="132" t="s">
        <v>602</v>
      </c>
      <c r="AX329" s="132" t="s">
        <v>602</v>
      </c>
      <c r="AY329" s="132" t="s">
        <v>602</v>
      </c>
      <c r="AZ329" s="132" t="s">
        <v>602</v>
      </c>
      <c r="BA329" s="132" t="s">
        <v>602</v>
      </c>
      <c r="BB329" s="116"/>
      <c r="BC329" s="113"/>
      <c r="BD329" s="116"/>
      <c r="BE329" s="113"/>
      <c r="BF329" s="116"/>
      <c r="BG329" s="116"/>
      <c r="BH329" s="137">
        <f t="shared" si="64"/>
        <v>118835</v>
      </c>
      <c r="BI329" s="138">
        <f t="shared" si="65"/>
        <v>0</v>
      </c>
      <c r="BJ329" s="147"/>
      <c r="BK329" s="91"/>
    </row>
    <row r="330" spans="1:63" ht="15.75">
      <c r="A330" s="123">
        <v>502315</v>
      </c>
      <c r="B330" s="126">
        <v>212696</v>
      </c>
      <c r="C330" s="124" t="s">
        <v>1380</v>
      </c>
      <c r="D330" s="124" t="s">
        <v>1381</v>
      </c>
      <c r="E330" s="125" t="s">
        <v>1378</v>
      </c>
      <c r="F330" s="124" t="s">
        <v>1379</v>
      </c>
      <c r="G330" s="127" t="s">
        <v>68</v>
      </c>
      <c r="H330" s="126" t="s">
        <v>597</v>
      </c>
      <c r="I330" s="126" t="s">
        <v>598</v>
      </c>
      <c r="J330" s="126" t="s">
        <v>888</v>
      </c>
      <c r="K330" s="128" t="s">
        <v>731</v>
      </c>
      <c r="L330" s="121" t="s">
        <v>652</v>
      </c>
      <c r="M330" s="123" t="s">
        <v>813</v>
      </c>
      <c r="N330" s="129">
        <v>42826</v>
      </c>
      <c r="O330" s="129">
        <v>43281</v>
      </c>
      <c r="P330" s="129">
        <v>43312</v>
      </c>
      <c r="Q330" s="130">
        <v>46000</v>
      </c>
      <c r="R330" s="113"/>
      <c r="S330" s="132">
        <v>26490</v>
      </c>
      <c r="T330" s="132">
        <v>0</v>
      </c>
      <c r="U330" s="132">
        <v>19510</v>
      </c>
      <c r="V330" s="132"/>
      <c r="W330" s="132">
        <v>0</v>
      </c>
      <c r="X330" s="132">
        <v>0</v>
      </c>
      <c r="Y330" s="111">
        <v>46000</v>
      </c>
      <c r="Z330" s="133">
        <f t="shared" si="60"/>
        <v>46000</v>
      </c>
      <c r="AA330" s="133">
        <f t="shared" si="61"/>
        <v>0</v>
      </c>
      <c r="AB330" s="141"/>
      <c r="AC330" s="132" t="s">
        <v>602</v>
      </c>
      <c r="AD330" s="132" t="s">
        <v>602</v>
      </c>
      <c r="AE330" s="132" t="s">
        <v>602</v>
      </c>
      <c r="AF330" s="132" t="s">
        <v>602</v>
      </c>
      <c r="AG330" s="132" t="s">
        <v>602</v>
      </c>
      <c r="AH330" s="132"/>
      <c r="AI330" s="111">
        <v>0</v>
      </c>
      <c r="AJ330" s="134">
        <f t="shared" si="59"/>
        <v>0</v>
      </c>
      <c r="AK330" s="134">
        <f t="shared" si="62"/>
        <v>0</v>
      </c>
      <c r="AL330" s="142"/>
      <c r="AM330" s="132">
        <v>0</v>
      </c>
      <c r="AN330" s="132">
        <v>0</v>
      </c>
      <c r="AO330" s="132">
        <v>0</v>
      </c>
      <c r="AP330" s="132">
        <v>0</v>
      </c>
      <c r="AQ330" s="132">
        <v>0</v>
      </c>
      <c r="AR330" s="132">
        <v>0</v>
      </c>
      <c r="AS330" s="116">
        <v>0</v>
      </c>
      <c r="AT330" s="134">
        <f t="shared" si="66"/>
        <v>0</v>
      </c>
      <c r="AU330" s="134">
        <f t="shared" si="63"/>
        <v>0</v>
      </c>
      <c r="AV330" s="142"/>
      <c r="AW330" s="135"/>
      <c r="AX330" s="135"/>
      <c r="AY330" s="135"/>
      <c r="AZ330" s="135"/>
      <c r="BA330" s="135"/>
      <c r="BB330" s="116"/>
      <c r="BC330" s="113"/>
      <c r="BD330" s="116"/>
      <c r="BE330" s="113"/>
      <c r="BF330" s="116"/>
      <c r="BG330" s="116"/>
      <c r="BH330" s="137">
        <f t="shared" si="64"/>
        <v>46000</v>
      </c>
      <c r="BI330" s="138">
        <f t="shared" si="65"/>
        <v>0</v>
      </c>
      <c r="BJ330" s="124" t="s">
        <v>814</v>
      </c>
      <c r="BK330" s="91"/>
    </row>
    <row r="331" spans="1:63" ht="15.75">
      <c r="A331" s="123">
        <v>501335</v>
      </c>
      <c r="B331" s="126">
        <v>212714</v>
      </c>
      <c r="C331" s="121" t="s">
        <v>1383</v>
      </c>
      <c r="D331" s="121" t="s">
        <v>881</v>
      </c>
      <c r="E331" s="125" t="s">
        <v>1382</v>
      </c>
      <c r="F331" s="124" t="s">
        <v>279</v>
      </c>
      <c r="G331" s="127" t="s">
        <v>53</v>
      </c>
      <c r="H331" s="123" t="s">
        <v>597</v>
      </c>
      <c r="I331" s="126" t="s">
        <v>598</v>
      </c>
      <c r="J331" s="126" t="s">
        <v>645</v>
      </c>
      <c r="K331" s="128" t="s">
        <v>666</v>
      </c>
      <c r="L331" s="121" t="s">
        <v>515</v>
      </c>
      <c r="M331" s="123" t="s">
        <v>994</v>
      </c>
      <c r="N331" s="129">
        <v>42614</v>
      </c>
      <c r="O331" s="129">
        <v>43708</v>
      </c>
      <c r="P331" s="129">
        <v>43798</v>
      </c>
      <c r="Q331" s="144">
        <v>60000</v>
      </c>
      <c r="R331" s="150"/>
      <c r="S331" s="132">
        <v>5000</v>
      </c>
      <c r="T331" s="132">
        <v>0</v>
      </c>
      <c r="U331" s="132">
        <v>15000</v>
      </c>
      <c r="V331" s="132"/>
      <c r="W331" s="132">
        <v>0</v>
      </c>
      <c r="X331" s="132">
        <v>0</v>
      </c>
      <c r="Y331" s="111">
        <v>20000</v>
      </c>
      <c r="Z331" s="133">
        <f t="shared" si="60"/>
        <v>20000</v>
      </c>
      <c r="AA331" s="133">
        <f t="shared" si="61"/>
        <v>0</v>
      </c>
      <c r="AB331" s="141"/>
      <c r="AC331" s="132">
        <v>5000</v>
      </c>
      <c r="AD331" s="132">
        <v>0</v>
      </c>
      <c r="AE331" s="132">
        <v>15000</v>
      </c>
      <c r="AF331" s="132">
        <v>0</v>
      </c>
      <c r="AG331" s="132">
        <v>0</v>
      </c>
      <c r="AH331" s="132"/>
      <c r="AI331" s="111">
        <v>20000</v>
      </c>
      <c r="AJ331" s="134">
        <f t="shared" si="59"/>
        <v>20000</v>
      </c>
      <c r="AK331" s="134">
        <f t="shared" si="62"/>
        <v>0</v>
      </c>
      <c r="AL331" s="142"/>
      <c r="AM331" s="132">
        <v>5000</v>
      </c>
      <c r="AN331" s="132">
        <v>0</v>
      </c>
      <c r="AO331" s="132">
        <v>15000</v>
      </c>
      <c r="AP331" s="132">
        <v>0</v>
      </c>
      <c r="AQ331" s="132">
        <v>0</v>
      </c>
      <c r="AR331" s="132">
        <v>0</v>
      </c>
      <c r="AS331" s="116">
        <v>20000</v>
      </c>
      <c r="AT331" s="134">
        <f t="shared" si="66"/>
        <v>20000</v>
      </c>
      <c r="AU331" s="134">
        <f t="shared" si="63"/>
        <v>0</v>
      </c>
      <c r="AV331" s="142"/>
      <c r="AW331" s="135"/>
      <c r="AX331" s="135"/>
      <c r="AY331" s="135"/>
      <c r="AZ331" s="135"/>
      <c r="BA331" s="135"/>
      <c r="BB331" s="116"/>
      <c r="BC331" s="113"/>
      <c r="BD331" s="116"/>
      <c r="BE331" s="113"/>
      <c r="BF331" s="116"/>
      <c r="BG331" s="116"/>
      <c r="BH331" s="137">
        <f t="shared" si="64"/>
        <v>60000</v>
      </c>
      <c r="BI331" s="138">
        <f t="shared" si="65"/>
        <v>0</v>
      </c>
      <c r="BJ331" s="147"/>
      <c r="BK331" s="91"/>
    </row>
    <row r="332" spans="1:63" ht="15.75">
      <c r="A332" s="139">
        <v>507642</v>
      </c>
      <c r="B332" s="126">
        <v>212714</v>
      </c>
      <c r="C332" s="124" t="s">
        <v>1383</v>
      </c>
      <c r="D332" s="124" t="s">
        <v>881</v>
      </c>
      <c r="E332" s="192" t="s">
        <v>1382</v>
      </c>
      <c r="F332" s="124" t="s">
        <v>279</v>
      </c>
      <c r="G332" s="127" t="s">
        <v>53</v>
      </c>
      <c r="H332" s="126" t="s">
        <v>628</v>
      </c>
      <c r="I332" s="126" t="s">
        <v>598</v>
      </c>
      <c r="J332" s="126" t="s">
        <v>645</v>
      </c>
      <c r="K332" s="128" t="s">
        <v>666</v>
      </c>
      <c r="L332" s="121" t="s">
        <v>519</v>
      </c>
      <c r="M332" s="123" t="s">
        <v>646</v>
      </c>
      <c r="N332" s="129">
        <v>43709</v>
      </c>
      <c r="O332" s="129">
        <v>44530</v>
      </c>
      <c r="P332" s="129">
        <v>44530</v>
      </c>
      <c r="Q332" s="130">
        <f>90000+85000</f>
        <v>175000</v>
      </c>
      <c r="R332" s="113"/>
      <c r="S332" s="132">
        <v>48700</v>
      </c>
      <c r="T332" s="132"/>
      <c r="U332" s="132">
        <v>25800</v>
      </c>
      <c r="V332" s="132">
        <v>2000</v>
      </c>
      <c r="W332" s="132">
        <v>13500</v>
      </c>
      <c r="X332" s="132"/>
      <c r="Y332" s="111">
        <f>SUM(S332:X332)</f>
        <v>90000</v>
      </c>
      <c r="Z332" s="133">
        <f t="shared" si="60"/>
        <v>90000</v>
      </c>
      <c r="AA332" s="133">
        <f t="shared" si="61"/>
        <v>0</v>
      </c>
      <c r="AB332" s="141"/>
      <c r="AC332" s="132">
        <v>48700</v>
      </c>
      <c r="AD332" s="132"/>
      <c r="AE332" s="132">
        <v>25800</v>
      </c>
      <c r="AF332" s="132">
        <v>2000</v>
      </c>
      <c r="AG332" s="132">
        <v>8500</v>
      </c>
      <c r="AH332" s="132"/>
      <c r="AI332" s="111">
        <v>85000</v>
      </c>
      <c r="AJ332" s="134">
        <f t="shared" si="59"/>
        <v>85000</v>
      </c>
      <c r="AK332" s="134">
        <f t="shared" si="62"/>
        <v>0</v>
      </c>
      <c r="AL332" s="142"/>
      <c r="AM332" s="132">
        <v>48700</v>
      </c>
      <c r="AN332" s="132"/>
      <c r="AO332" s="132">
        <v>25800</v>
      </c>
      <c r="AP332" s="132">
        <v>2000</v>
      </c>
      <c r="AQ332" s="132">
        <v>8500</v>
      </c>
      <c r="AR332" s="132"/>
      <c r="AS332" s="116">
        <f>SUM(AM332:AR332)</f>
        <v>85000</v>
      </c>
      <c r="AT332" s="134">
        <f t="shared" si="66"/>
        <v>85000</v>
      </c>
      <c r="AU332" s="134">
        <f t="shared" si="63"/>
        <v>0</v>
      </c>
      <c r="AV332" s="142"/>
      <c r="AW332" s="135"/>
      <c r="AX332" s="135"/>
      <c r="AY332" s="135"/>
      <c r="AZ332" s="135"/>
      <c r="BA332" s="135"/>
      <c r="BB332" s="116"/>
      <c r="BC332" s="113"/>
      <c r="BD332" s="116"/>
      <c r="BE332" s="113"/>
      <c r="BF332" s="116"/>
      <c r="BG332" s="116"/>
      <c r="BH332" s="137">
        <f t="shared" si="64"/>
        <v>260000</v>
      </c>
      <c r="BI332" s="138">
        <f t="shared" si="65"/>
        <v>85000</v>
      </c>
      <c r="BJ332" s="126"/>
      <c r="BK332" s="91"/>
    </row>
    <row r="333" spans="1:63" ht="15.75">
      <c r="A333" s="123">
        <v>501336</v>
      </c>
      <c r="B333" s="126">
        <v>212893</v>
      </c>
      <c r="C333" s="124" t="s">
        <v>1385</v>
      </c>
      <c r="D333" s="124" t="s">
        <v>1386</v>
      </c>
      <c r="E333" s="125" t="s">
        <v>1384</v>
      </c>
      <c r="F333" s="124" t="s">
        <v>187</v>
      </c>
      <c r="G333" s="127" t="s">
        <v>53</v>
      </c>
      <c r="H333" s="126" t="s">
        <v>628</v>
      </c>
      <c r="I333" s="126" t="s">
        <v>598</v>
      </c>
      <c r="J333" s="126" t="s">
        <v>683</v>
      </c>
      <c r="K333" s="128" t="s">
        <v>684</v>
      </c>
      <c r="L333" s="121" t="s">
        <v>515</v>
      </c>
      <c r="M333" s="123" t="s">
        <v>712</v>
      </c>
      <c r="N333" s="129">
        <v>42614</v>
      </c>
      <c r="O333" s="129">
        <v>43708</v>
      </c>
      <c r="P333" s="129">
        <v>44145</v>
      </c>
      <c r="Q333" s="130">
        <v>635550</v>
      </c>
      <c r="R333" s="113"/>
      <c r="S333" s="132">
        <v>55000</v>
      </c>
      <c r="T333" s="132">
        <v>131850</v>
      </c>
      <c r="U333" s="132">
        <v>25000</v>
      </c>
      <c r="V333" s="132"/>
      <c r="W333" s="132">
        <v>0</v>
      </c>
      <c r="X333" s="132">
        <v>0</v>
      </c>
      <c r="Y333" s="111">
        <v>211850</v>
      </c>
      <c r="Z333" s="133">
        <f t="shared" si="60"/>
        <v>211850</v>
      </c>
      <c r="AA333" s="133">
        <f t="shared" si="61"/>
        <v>0</v>
      </c>
      <c r="AB333" s="141"/>
      <c r="AC333" s="132">
        <v>55000</v>
      </c>
      <c r="AD333" s="132">
        <v>0</v>
      </c>
      <c r="AE333" s="132">
        <v>131850</v>
      </c>
      <c r="AF333" s="132">
        <v>25000</v>
      </c>
      <c r="AG333" s="132">
        <v>0</v>
      </c>
      <c r="AH333" s="132"/>
      <c r="AI333" s="111">
        <v>211850</v>
      </c>
      <c r="AJ333" s="134">
        <f t="shared" si="59"/>
        <v>211850</v>
      </c>
      <c r="AK333" s="134">
        <f t="shared" si="62"/>
        <v>0</v>
      </c>
      <c r="AL333" s="142"/>
      <c r="AM333" s="135">
        <v>55000</v>
      </c>
      <c r="AN333" s="135">
        <v>0</v>
      </c>
      <c r="AO333" s="135">
        <v>131850</v>
      </c>
      <c r="AP333" s="135"/>
      <c r="AQ333" s="135">
        <v>25000</v>
      </c>
      <c r="AR333" s="135">
        <v>0</v>
      </c>
      <c r="AS333" s="116">
        <v>211850</v>
      </c>
      <c r="AT333" s="134">
        <f t="shared" si="66"/>
        <v>211850</v>
      </c>
      <c r="AU333" s="134">
        <f t="shared" si="63"/>
        <v>0</v>
      </c>
      <c r="AV333" s="142"/>
      <c r="AW333" s="135"/>
      <c r="AX333" s="135"/>
      <c r="AY333" s="135"/>
      <c r="AZ333" s="135"/>
      <c r="BA333" s="135"/>
      <c r="BB333" s="116"/>
      <c r="BC333" s="113"/>
      <c r="BD333" s="116"/>
      <c r="BE333" s="113"/>
      <c r="BF333" s="116"/>
      <c r="BG333" s="116"/>
      <c r="BH333" s="137">
        <f t="shared" si="64"/>
        <v>635550</v>
      </c>
      <c r="BI333" s="138">
        <f t="shared" si="65"/>
        <v>0</v>
      </c>
      <c r="BJ333" s="126"/>
      <c r="BK333" s="91"/>
    </row>
    <row r="334" spans="1:63" ht="15.75">
      <c r="A334" s="123">
        <v>507693</v>
      </c>
      <c r="B334" s="126">
        <v>212893</v>
      </c>
      <c r="C334" s="124" t="s">
        <v>1385</v>
      </c>
      <c r="D334" s="124" t="s">
        <v>1386</v>
      </c>
      <c r="E334" s="125" t="s">
        <v>1384</v>
      </c>
      <c r="F334" s="124" t="s">
        <v>187</v>
      </c>
      <c r="G334" s="127" t="s">
        <v>53</v>
      </c>
      <c r="H334" s="126" t="s">
        <v>628</v>
      </c>
      <c r="I334" s="126" t="s">
        <v>598</v>
      </c>
      <c r="J334" s="193" t="s">
        <v>683</v>
      </c>
      <c r="K334" s="194" t="s">
        <v>684</v>
      </c>
      <c r="L334" s="121" t="s">
        <v>519</v>
      </c>
      <c r="M334" s="123" t="s">
        <v>717</v>
      </c>
      <c r="N334" s="129">
        <v>43709</v>
      </c>
      <c r="O334" s="129">
        <v>44530</v>
      </c>
      <c r="P334" s="129">
        <v>44530</v>
      </c>
      <c r="Q334" s="130">
        <f>108000+108000</f>
        <v>216000</v>
      </c>
      <c r="R334" s="113"/>
      <c r="S334" s="132"/>
      <c r="T334" s="132"/>
      <c r="U334" s="132">
        <v>108000</v>
      </c>
      <c r="V334" s="132"/>
      <c r="W334" s="132"/>
      <c r="X334" s="132"/>
      <c r="Y334" s="111">
        <v>108000</v>
      </c>
      <c r="Z334" s="133">
        <f t="shared" si="60"/>
        <v>108000</v>
      </c>
      <c r="AA334" s="133">
        <f t="shared" si="61"/>
        <v>0</v>
      </c>
      <c r="AB334" s="141"/>
      <c r="AC334" s="132"/>
      <c r="AD334" s="132"/>
      <c r="AE334" s="132">
        <v>108000</v>
      </c>
      <c r="AF334" s="132"/>
      <c r="AG334" s="132"/>
      <c r="AH334" s="132"/>
      <c r="AI334" s="111">
        <v>108000</v>
      </c>
      <c r="AJ334" s="134">
        <f t="shared" si="59"/>
        <v>108000</v>
      </c>
      <c r="AK334" s="134">
        <f t="shared" si="62"/>
        <v>0</v>
      </c>
      <c r="AL334" s="142"/>
      <c r="AM334" s="132"/>
      <c r="AN334" s="132"/>
      <c r="AO334" s="132">
        <v>108000</v>
      </c>
      <c r="AP334" s="132"/>
      <c r="AQ334" s="132"/>
      <c r="AR334" s="132"/>
      <c r="AS334" s="116">
        <f>SUM(AM334:AR334)</f>
        <v>108000</v>
      </c>
      <c r="AT334" s="134">
        <f t="shared" si="66"/>
        <v>108000</v>
      </c>
      <c r="AU334" s="134">
        <f t="shared" si="63"/>
        <v>0</v>
      </c>
      <c r="AV334" s="142"/>
      <c r="AW334" s="135"/>
      <c r="AX334" s="135"/>
      <c r="AY334" s="135"/>
      <c r="AZ334" s="135"/>
      <c r="BA334" s="135"/>
      <c r="BB334" s="116"/>
      <c r="BC334" s="113"/>
      <c r="BD334" s="116"/>
      <c r="BE334" s="113"/>
      <c r="BF334" s="116"/>
      <c r="BG334" s="116"/>
      <c r="BH334" s="137">
        <f t="shared" si="64"/>
        <v>324000</v>
      </c>
      <c r="BI334" s="138">
        <f t="shared" si="65"/>
        <v>108000</v>
      </c>
      <c r="BJ334" s="126"/>
      <c r="BK334" s="91"/>
    </row>
    <row r="335" spans="1:63" ht="15.75">
      <c r="A335" s="123">
        <v>499906</v>
      </c>
      <c r="B335" s="126">
        <v>212931</v>
      </c>
      <c r="C335" s="148" t="s">
        <v>1389</v>
      </c>
      <c r="D335" s="148" t="s">
        <v>1390</v>
      </c>
      <c r="E335" s="125" t="s">
        <v>1387</v>
      </c>
      <c r="F335" s="124" t="s">
        <v>1388</v>
      </c>
      <c r="G335" s="127" t="s">
        <v>46</v>
      </c>
      <c r="H335" s="149" t="s">
        <v>597</v>
      </c>
      <c r="I335" s="126" t="s">
        <v>609</v>
      </c>
      <c r="J335" s="126" t="s">
        <v>610</v>
      </c>
      <c r="K335" s="128" t="s">
        <v>819</v>
      </c>
      <c r="L335" s="121" t="s">
        <v>637</v>
      </c>
      <c r="M335" s="123" t="s">
        <v>638</v>
      </c>
      <c r="N335" s="129">
        <v>42248</v>
      </c>
      <c r="O335" s="129">
        <v>42643</v>
      </c>
      <c r="P335" s="129">
        <v>42668</v>
      </c>
      <c r="Q335" s="144">
        <v>40000</v>
      </c>
      <c r="R335" s="132">
        <v>40000</v>
      </c>
      <c r="S335" s="132"/>
      <c r="T335" s="132">
        <v>0</v>
      </c>
      <c r="U335" s="132">
        <v>0</v>
      </c>
      <c r="V335" s="132"/>
      <c r="W335" s="132">
        <v>0</v>
      </c>
      <c r="X335" s="132">
        <v>0</v>
      </c>
      <c r="Y335" s="111">
        <v>40000</v>
      </c>
      <c r="Z335" s="133">
        <f t="shared" si="60"/>
        <v>40000</v>
      </c>
      <c r="AA335" s="133">
        <f t="shared" si="61"/>
        <v>0</v>
      </c>
      <c r="AB335" s="141"/>
      <c r="AC335" s="132" t="s">
        <v>602</v>
      </c>
      <c r="AD335" s="132" t="s">
        <v>602</v>
      </c>
      <c r="AE335" s="132" t="s">
        <v>602</v>
      </c>
      <c r="AF335" s="132" t="s">
        <v>602</v>
      </c>
      <c r="AG335" s="132" t="s">
        <v>602</v>
      </c>
      <c r="AH335" s="132"/>
      <c r="AI335" s="111">
        <v>0</v>
      </c>
      <c r="AJ335" s="134">
        <f t="shared" si="59"/>
        <v>0</v>
      </c>
      <c r="AK335" s="134">
        <f t="shared" si="62"/>
        <v>0</v>
      </c>
      <c r="AL335" s="142"/>
      <c r="AM335" s="132">
        <v>0</v>
      </c>
      <c r="AN335" s="132">
        <v>0</v>
      </c>
      <c r="AO335" s="132">
        <v>0</v>
      </c>
      <c r="AP335" s="132">
        <v>0</v>
      </c>
      <c r="AQ335" s="132">
        <v>0</v>
      </c>
      <c r="AR335" s="132">
        <v>0</v>
      </c>
      <c r="AS335" s="116">
        <v>0</v>
      </c>
      <c r="AT335" s="134">
        <f t="shared" si="66"/>
        <v>0</v>
      </c>
      <c r="AU335" s="134">
        <f t="shared" si="63"/>
        <v>0</v>
      </c>
      <c r="AV335" s="142"/>
      <c r="AW335" s="132" t="s">
        <v>602</v>
      </c>
      <c r="AX335" s="132" t="s">
        <v>602</v>
      </c>
      <c r="AY335" s="132" t="s">
        <v>602</v>
      </c>
      <c r="AZ335" s="132" t="s">
        <v>602</v>
      </c>
      <c r="BA335" s="132" t="s">
        <v>602</v>
      </c>
      <c r="BB335" s="116"/>
      <c r="BC335" s="113"/>
      <c r="BD335" s="116"/>
      <c r="BE335" s="113"/>
      <c r="BF335" s="116"/>
      <c r="BG335" s="116"/>
      <c r="BH335" s="137">
        <f t="shared" si="64"/>
        <v>40000</v>
      </c>
      <c r="BI335" s="138">
        <f t="shared" si="65"/>
        <v>0</v>
      </c>
      <c r="BJ335" s="147"/>
      <c r="BK335" s="91"/>
    </row>
    <row r="336" spans="1:63" ht="15.75">
      <c r="A336" s="123">
        <v>500488</v>
      </c>
      <c r="B336" s="126">
        <v>212931</v>
      </c>
      <c r="C336" s="148" t="s">
        <v>1389</v>
      </c>
      <c r="D336" s="148" t="s">
        <v>1390</v>
      </c>
      <c r="E336" s="125" t="s">
        <v>1387</v>
      </c>
      <c r="F336" s="124" t="s">
        <v>1388</v>
      </c>
      <c r="G336" s="127" t="s">
        <v>53</v>
      </c>
      <c r="H336" s="149" t="s">
        <v>597</v>
      </c>
      <c r="I336" s="126" t="s">
        <v>609</v>
      </c>
      <c r="J336" s="126" t="s">
        <v>610</v>
      </c>
      <c r="K336" s="128" t="s">
        <v>819</v>
      </c>
      <c r="L336" s="124" t="s">
        <v>521</v>
      </c>
      <c r="M336" s="143" t="s">
        <v>661</v>
      </c>
      <c r="N336" s="129">
        <v>42401</v>
      </c>
      <c r="O336" s="129">
        <v>43131</v>
      </c>
      <c r="P336" s="129">
        <v>43131</v>
      </c>
      <c r="Q336" s="144">
        <v>60000</v>
      </c>
      <c r="R336" s="150"/>
      <c r="S336" s="132">
        <v>30000</v>
      </c>
      <c r="T336" s="132">
        <v>0</v>
      </c>
      <c r="U336" s="132">
        <v>0</v>
      </c>
      <c r="V336" s="132">
        <v>0</v>
      </c>
      <c r="W336" s="132">
        <v>0</v>
      </c>
      <c r="X336" s="132">
        <v>0</v>
      </c>
      <c r="Y336" s="111">
        <v>30000</v>
      </c>
      <c r="Z336" s="133">
        <f t="shared" si="60"/>
        <v>30000</v>
      </c>
      <c r="AA336" s="133">
        <f t="shared" si="61"/>
        <v>0</v>
      </c>
      <c r="AB336" s="141"/>
      <c r="AC336" s="132">
        <v>30000</v>
      </c>
      <c r="AD336" s="132">
        <v>0</v>
      </c>
      <c r="AE336" s="132">
        <v>0</v>
      </c>
      <c r="AF336" s="132">
        <v>0</v>
      </c>
      <c r="AG336" s="132">
        <v>0</v>
      </c>
      <c r="AH336" s="132"/>
      <c r="AI336" s="111">
        <v>30000</v>
      </c>
      <c r="AJ336" s="134">
        <f t="shared" si="59"/>
        <v>30000</v>
      </c>
      <c r="AK336" s="134">
        <f t="shared" si="62"/>
        <v>0</v>
      </c>
      <c r="AL336" s="142"/>
      <c r="AM336" s="132">
        <v>0</v>
      </c>
      <c r="AN336" s="132">
        <v>0</v>
      </c>
      <c r="AO336" s="132">
        <v>0</v>
      </c>
      <c r="AP336" s="132">
        <v>0</v>
      </c>
      <c r="AQ336" s="132">
        <v>0</v>
      </c>
      <c r="AR336" s="132">
        <v>0</v>
      </c>
      <c r="AS336" s="116">
        <v>0</v>
      </c>
      <c r="AT336" s="134">
        <f t="shared" si="66"/>
        <v>0</v>
      </c>
      <c r="AU336" s="134">
        <f t="shared" si="63"/>
        <v>0</v>
      </c>
      <c r="AV336" s="142"/>
      <c r="AW336" s="135"/>
      <c r="AX336" s="135"/>
      <c r="AY336" s="135"/>
      <c r="AZ336" s="135"/>
      <c r="BA336" s="135"/>
      <c r="BB336" s="116"/>
      <c r="BC336" s="113"/>
      <c r="BD336" s="116"/>
      <c r="BE336" s="113"/>
      <c r="BF336" s="116"/>
      <c r="BG336" s="116"/>
      <c r="BH336" s="137">
        <f t="shared" si="64"/>
        <v>60000</v>
      </c>
      <c r="BI336" s="138">
        <f t="shared" si="65"/>
        <v>0</v>
      </c>
      <c r="BJ336" s="123" t="s">
        <v>941</v>
      </c>
      <c r="BK336" s="91" t="s">
        <v>1391</v>
      </c>
    </row>
    <row r="337" spans="1:63" ht="15.75">
      <c r="A337" s="123">
        <v>501341</v>
      </c>
      <c r="B337" s="126">
        <v>213043</v>
      </c>
      <c r="C337" s="148" t="s">
        <v>1401</v>
      </c>
      <c r="D337" s="148" t="s">
        <v>1402</v>
      </c>
      <c r="E337" s="125" t="s">
        <v>1399</v>
      </c>
      <c r="F337" s="124" t="s">
        <v>1400</v>
      </c>
      <c r="G337" s="127" t="s">
        <v>46</v>
      </c>
      <c r="H337" s="123" t="s">
        <v>628</v>
      </c>
      <c r="I337" s="126" t="s">
        <v>598</v>
      </c>
      <c r="J337" s="126" t="s">
        <v>683</v>
      </c>
      <c r="K337" s="128" t="s">
        <v>684</v>
      </c>
      <c r="L337" s="121" t="s">
        <v>515</v>
      </c>
      <c r="M337" s="143" t="s">
        <v>713</v>
      </c>
      <c r="N337" s="129">
        <v>43344</v>
      </c>
      <c r="O337" s="129">
        <v>43708</v>
      </c>
      <c r="P337" s="129">
        <v>44145</v>
      </c>
      <c r="Q337" s="144">
        <v>25000</v>
      </c>
      <c r="R337" s="150"/>
      <c r="S337" s="132">
        <v>0</v>
      </c>
      <c r="T337" s="132">
        <v>0</v>
      </c>
      <c r="U337" s="132">
        <v>0</v>
      </c>
      <c r="V337" s="132"/>
      <c r="W337" s="132">
        <v>0</v>
      </c>
      <c r="X337" s="132">
        <v>0</v>
      </c>
      <c r="Y337" s="111">
        <v>0</v>
      </c>
      <c r="Z337" s="133">
        <f t="shared" si="60"/>
        <v>0</v>
      </c>
      <c r="AA337" s="133">
        <f t="shared" si="61"/>
        <v>0</v>
      </c>
      <c r="AB337" s="141"/>
      <c r="AC337" s="132">
        <v>0</v>
      </c>
      <c r="AD337" s="132">
        <v>0</v>
      </c>
      <c r="AE337" s="132">
        <v>0</v>
      </c>
      <c r="AF337" s="132">
        <v>0</v>
      </c>
      <c r="AG337" s="132">
        <v>0</v>
      </c>
      <c r="AH337" s="132"/>
      <c r="AI337" s="111">
        <v>0</v>
      </c>
      <c r="AJ337" s="134">
        <f t="shared" si="59"/>
        <v>0</v>
      </c>
      <c r="AK337" s="134">
        <f t="shared" si="62"/>
        <v>0</v>
      </c>
      <c r="AL337" s="142"/>
      <c r="AM337" s="135">
        <v>25000</v>
      </c>
      <c r="AN337" s="135">
        <v>0</v>
      </c>
      <c r="AO337" s="135">
        <v>0</v>
      </c>
      <c r="AP337" s="135"/>
      <c r="AQ337" s="135">
        <v>0</v>
      </c>
      <c r="AR337" s="135">
        <v>0</v>
      </c>
      <c r="AS337" s="116">
        <v>25000</v>
      </c>
      <c r="AT337" s="134">
        <f t="shared" si="66"/>
        <v>25000</v>
      </c>
      <c r="AU337" s="134">
        <f t="shared" si="63"/>
        <v>0</v>
      </c>
      <c r="AV337" s="142"/>
      <c r="AW337" s="135"/>
      <c r="AX337" s="135"/>
      <c r="AY337" s="135"/>
      <c r="AZ337" s="135"/>
      <c r="BA337" s="135"/>
      <c r="BB337" s="116"/>
      <c r="BC337" s="113"/>
      <c r="BD337" s="116"/>
      <c r="BE337" s="113"/>
      <c r="BF337" s="116"/>
      <c r="BG337" s="116"/>
      <c r="BH337" s="137">
        <f t="shared" si="64"/>
        <v>25000</v>
      </c>
      <c r="BI337" s="138">
        <f t="shared" si="65"/>
        <v>0</v>
      </c>
      <c r="BJ337" s="147" t="s">
        <v>1403</v>
      </c>
      <c r="BK337" s="91"/>
    </row>
    <row r="338" spans="1:63" ht="15.75">
      <c r="A338" s="123">
        <v>506682</v>
      </c>
      <c r="B338" s="126">
        <v>213061</v>
      </c>
      <c r="C338" s="149" t="s">
        <v>1405</v>
      </c>
      <c r="D338" s="149" t="s">
        <v>1406</v>
      </c>
      <c r="E338" s="125" t="s">
        <v>1404</v>
      </c>
      <c r="F338" s="124" t="s">
        <v>136</v>
      </c>
      <c r="G338" s="127" t="s">
        <v>82</v>
      </c>
      <c r="H338" s="149" t="s">
        <v>597</v>
      </c>
      <c r="I338" s="126" t="s">
        <v>598</v>
      </c>
      <c r="J338" s="126" t="s">
        <v>888</v>
      </c>
      <c r="K338" s="128" t="s">
        <v>731</v>
      </c>
      <c r="L338" s="121" t="s">
        <v>19</v>
      </c>
      <c r="M338" s="123" t="s">
        <v>1407</v>
      </c>
      <c r="N338" s="129">
        <v>43556</v>
      </c>
      <c r="O338" s="129">
        <v>43921</v>
      </c>
      <c r="P338" s="129">
        <v>43921</v>
      </c>
      <c r="Q338" s="144">
        <v>75000</v>
      </c>
      <c r="R338" s="150"/>
      <c r="S338" s="132">
        <v>55315</v>
      </c>
      <c r="T338" s="132"/>
      <c r="U338" s="132">
        <v>15685</v>
      </c>
      <c r="V338" s="132">
        <v>0</v>
      </c>
      <c r="W338" s="132">
        <v>4000</v>
      </c>
      <c r="X338" s="132">
        <v>0</v>
      </c>
      <c r="Y338" s="111">
        <v>75000</v>
      </c>
      <c r="Z338" s="133">
        <f t="shared" si="60"/>
        <v>75000</v>
      </c>
      <c r="AA338" s="133">
        <f t="shared" si="61"/>
        <v>0</v>
      </c>
      <c r="AB338" s="141"/>
      <c r="AC338" s="132" t="s">
        <v>602</v>
      </c>
      <c r="AD338" s="132" t="s">
        <v>602</v>
      </c>
      <c r="AE338" s="132" t="s">
        <v>602</v>
      </c>
      <c r="AF338" s="132" t="s">
        <v>602</v>
      </c>
      <c r="AG338" s="132" t="s">
        <v>602</v>
      </c>
      <c r="AH338" s="132"/>
      <c r="AI338" s="111"/>
      <c r="AJ338" s="134">
        <f t="shared" si="59"/>
        <v>0</v>
      </c>
      <c r="AK338" s="134">
        <f t="shared" si="62"/>
        <v>0</v>
      </c>
      <c r="AL338" s="145"/>
      <c r="AM338" s="132">
        <v>0</v>
      </c>
      <c r="AN338" s="132">
        <v>0</v>
      </c>
      <c r="AO338" s="132">
        <v>0</v>
      </c>
      <c r="AP338" s="132">
        <v>0</v>
      </c>
      <c r="AQ338" s="132">
        <v>0</v>
      </c>
      <c r="AR338" s="132">
        <v>0</v>
      </c>
      <c r="AS338" s="116"/>
      <c r="AT338" s="134">
        <f t="shared" si="66"/>
        <v>0</v>
      </c>
      <c r="AU338" s="134">
        <f t="shared" si="63"/>
        <v>0</v>
      </c>
      <c r="AV338" s="142"/>
      <c r="AW338" s="135"/>
      <c r="AX338" s="135"/>
      <c r="AY338" s="135"/>
      <c r="AZ338" s="135"/>
      <c r="BA338" s="135"/>
      <c r="BB338" s="116"/>
      <c r="BC338" s="113"/>
      <c r="BD338" s="116"/>
      <c r="BE338" s="113"/>
      <c r="BF338" s="116"/>
      <c r="BG338" s="116"/>
      <c r="BH338" s="137">
        <f t="shared" si="64"/>
        <v>75000</v>
      </c>
      <c r="BI338" s="138">
        <f t="shared" si="65"/>
        <v>0</v>
      </c>
      <c r="BJ338" s="147"/>
      <c r="BK338" s="91"/>
    </row>
    <row r="339" spans="1:63" ht="15.75">
      <c r="A339" s="123">
        <v>509667</v>
      </c>
      <c r="B339" s="126" t="s">
        <v>2071</v>
      </c>
      <c r="C339" s="148" t="s">
        <v>1225</v>
      </c>
      <c r="D339" s="148" t="s">
        <v>1226</v>
      </c>
      <c r="E339" s="125" t="s">
        <v>1224</v>
      </c>
      <c r="F339" s="163" t="s">
        <v>221</v>
      </c>
      <c r="G339" s="127" t="s">
        <v>68</v>
      </c>
      <c r="H339" s="164" t="s">
        <v>597</v>
      </c>
      <c r="I339" s="126" t="s">
        <v>598</v>
      </c>
      <c r="J339" s="126" t="s">
        <v>645</v>
      </c>
      <c r="K339" s="190" t="s">
        <v>754</v>
      </c>
      <c r="L339" s="121" t="s">
        <v>19</v>
      </c>
      <c r="M339" s="123" t="s">
        <v>1227</v>
      </c>
      <c r="N339" s="129">
        <v>44044</v>
      </c>
      <c r="O339" s="129">
        <v>44773</v>
      </c>
      <c r="P339" s="129">
        <v>44773</v>
      </c>
      <c r="Q339" s="130">
        <v>100000</v>
      </c>
      <c r="R339" s="113"/>
      <c r="S339" s="132">
        <v>29592</v>
      </c>
      <c r="T339" s="132">
        <v>0</v>
      </c>
      <c r="U339" s="132">
        <v>43472</v>
      </c>
      <c r="V339" s="132">
        <v>0</v>
      </c>
      <c r="W339" s="132">
        <v>26936</v>
      </c>
      <c r="X339" s="132"/>
      <c r="Y339" s="111">
        <v>100000</v>
      </c>
      <c r="Z339" s="133">
        <f t="shared" si="60"/>
        <v>100000</v>
      </c>
      <c r="AA339" s="133">
        <f t="shared" si="61"/>
        <v>0</v>
      </c>
      <c r="AB339" s="141"/>
      <c r="AC339" s="132">
        <v>31071</v>
      </c>
      <c r="AD339" s="132">
        <v>0</v>
      </c>
      <c r="AE339" s="132">
        <v>46224</v>
      </c>
      <c r="AF339" s="132"/>
      <c r="AG339" s="132">
        <v>21204</v>
      </c>
      <c r="AH339" s="132">
        <v>1500</v>
      </c>
      <c r="AI339" s="111">
        <v>99999</v>
      </c>
      <c r="AJ339" s="134">
        <f t="shared" si="59"/>
        <v>99999</v>
      </c>
      <c r="AK339" s="134">
        <f t="shared" si="62"/>
        <v>0</v>
      </c>
      <c r="AL339" s="142"/>
      <c r="AM339" s="132">
        <v>0</v>
      </c>
      <c r="AN339" s="132">
        <v>0</v>
      </c>
      <c r="AO339" s="132">
        <v>0</v>
      </c>
      <c r="AP339" s="132">
        <v>0</v>
      </c>
      <c r="AQ339" s="132">
        <v>0</v>
      </c>
      <c r="AR339" s="132">
        <v>0</v>
      </c>
      <c r="AS339" s="116">
        <v>0</v>
      </c>
      <c r="AT339" s="134">
        <f t="shared" si="66"/>
        <v>0</v>
      </c>
      <c r="AU339" s="134">
        <f t="shared" si="63"/>
        <v>0</v>
      </c>
      <c r="AV339" s="142"/>
      <c r="AW339" s="135"/>
      <c r="AX339" s="135"/>
      <c r="AY339" s="135"/>
      <c r="AZ339" s="135"/>
      <c r="BA339" s="135"/>
      <c r="BB339" s="116"/>
      <c r="BC339" s="113"/>
      <c r="BD339" s="116"/>
      <c r="BE339" s="113"/>
      <c r="BF339" s="116"/>
      <c r="BG339" s="116"/>
      <c r="BH339" s="137">
        <f t="shared" si="64"/>
        <v>199999</v>
      </c>
      <c r="BI339" s="138">
        <f t="shared" si="65"/>
        <v>99999</v>
      </c>
      <c r="BJ339" s="126"/>
      <c r="BK339" s="91"/>
    </row>
  </sheetData>
  <autoFilter ref="A1:BK339" xr:uid="{00000000-0009-0000-0000-00000B000000}">
    <sortState xmlns:xlrd2="http://schemas.microsoft.com/office/spreadsheetml/2017/richdata2" ref="A2:BK339">
      <sortCondition ref="B1:B339"/>
    </sortState>
  </autoFilter>
  <hyperlinks>
    <hyperlink ref="K83" r:id="rId1" display="mailto:elisabete@mie.utoronto.ca" xr:uid="{00000000-0004-0000-0B00-000000000000}"/>
    <hyperlink ref="K251" r:id="rId2" display="mailto:lynette.anderson@utoronto.ca" xr:uid="{00000000-0004-0000-0B00-000001000000}"/>
    <hyperlink ref="K254" r:id="rId3" xr:uid="{00000000-0004-0000-0B00-000002000000}"/>
    <hyperlink ref="K247" r:id="rId4" display="mailto:konstantin@mie.utoronto.ca" xr:uid="{00000000-0004-0000-0B00-000003000000}"/>
    <hyperlink ref="K122" r:id="rId5" display="nancy.calabrese@utoronto.ca" xr:uid="{00000000-0004-0000-0B00-000004000000}"/>
    <hyperlink ref="K123" r:id="rId6" display="mailto:angela.rosa@utoronto.ca" xr:uid="{00000000-0004-0000-0B00-000005000000}"/>
    <hyperlink ref="K154" r:id="rId7" display="mailto:katrina.soh@utoronto.ca" xr:uid="{00000000-0004-0000-0B00-000006000000}"/>
    <hyperlink ref="K269" r:id="rId8" display="mailto:katrina.soh@utoronto.ca" xr:uid="{00000000-0004-0000-0B00-000007000000}"/>
    <hyperlink ref="K153" r:id="rId9" display="mailto:elizabeth.den.hartog@utoronto.ca" xr:uid="{00000000-0004-0000-0B00-000008000000}"/>
    <hyperlink ref="K264" r:id="rId10" display="mailto:katrina.soh@utoronto.ca" xr:uid="{00000000-0004-0000-0B00-000009000000}"/>
    <hyperlink ref="K308" r:id="rId11" display="mailto:katrina.soh@utoronto.ca" xr:uid="{00000000-0004-0000-0B00-00000A000000}"/>
    <hyperlink ref="K106" r:id="rId12" display="mailto:angela.rosa@utoronto.ca" xr:uid="{00000000-0004-0000-0B00-00000B000000}"/>
    <hyperlink ref="K331" r:id="rId13" display="mailto:christine.kreutzer@utoronto.ca" xr:uid="{00000000-0004-0000-0B00-00000C000000}"/>
    <hyperlink ref="K110" r:id="rId14" display="mailto:angela.rosa@utoronto.ca" xr:uid="{00000000-0004-0000-0B00-00000D000000}"/>
    <hyperlink ref="K302" r:id="rId15" display="mailto:katrina.soh@utoronto.ca" xr:uid="{00000000-0004-0000-0B00-00000E000000}"/>
    <hyperlink ref="K117" r:id="rId16" xr:uid="{00000000-0004-0000-0B00-00000F000000}"/>
    <hyperlink ref="K127" r:id="rId17" display="mailto:merle.casci@utoronto.ca" xr:uid="{00000000-0004-0000-0B00-000010000000}"/>
    <hyperlink ref="K128" r:id="rId18" display="mailto:merle.casci@utoronto.ca" xr:uid="{00000000-0004-0000-0B00-000011000000}"/>
    <hyperlink ref="K115" r:id="rId19" display="mailto:merle.casci@utoronto.ca" xr:uid="{00000000-0004-0000-0B00-000012000000}"/>
    <hyperlink ref="K135" r:id="rId20" display="mailto:merle.casci@utoronto.ca" xr:uid="{00000000-0004-0000-0B00-000013000000}"/>
    <hyperlink ref="K266" r:id="rId21" display="mailto:katrina.soh@utoronto.ca" xr:uid="{00000000-0004-0000-0B00-000014000000}"/>
    <hyperlink ref="K322" r:id="rId22" display="mailto:merle.casci@utoronto.ca" xr:uid="{00000000-0004-0000-0B00-000015000000}"/>
    <hyperlink ref="K323" r:id="rId23" display="mailto:merle.casci@utoronto.ca" xr:uid="{00000000-0004-0000-0B00-000016000000}"/>
    <hyperlink ref="K324" r:id="rId24" display="mailto:merle.casci@utoronto.ca" xr:uid="{00000000-0004-0000-0B00-000017000000}"/>
    <hyperlink ref="K162" r:id="rId25" display="mailto:katrina.soh@utoronto.ca" xr:uid="{00000000-0004-0000-0B00-000018000000}"/>
    <hyperlink ref="K187" r:id="rId26" display="mailto:christine.kreutzer@utoronto.ca" xr:uid="{00000000-0004-0000-0B00-000019000000}"/>
    <hyperlink ref="K195" r:id="rId27" display="mailto:merle.casci@utoronto.ca" xr:uid="{00000000-0004-0000-0B00-00001A000000}"/>
    <hyperlink ref="K15" r:id="rId28" display="mailto:christine.kreutzer@utoronto.ca" xr:uid="{00000000-0004-0000-0B00-00001B000000}"/>
    <hyperlink ref="K181" r:id="rId29" xr:uid="{00000000-0004-0000-0B00-00001C000000}"/>
    <hyperlink ref="K99" r:id="rId30" tooltip="arlene.smith@utoronto.ca" display="mailto:arlene.smith@utoronto.ca" xr:uid="{00000000-0004-0000-0B00-00001D000000}"/>
    <hyperlink ref="K268" r:id="rId31" display="mailto:jessica.bailey@utoronto.ca" xr:uid="{00000000-0004-0000-0B00-00001E000000}"/>
    <hyperlink ref="K311" r:id="rId32" display="mailto:katrina.soh@utoronto.ca" xr:uid="{00000000-0004-0000-0B00-00001F000000}"/>
    <hyperlink ref="K312" r:id="rId33" display="mailto:katrina.soh@utoronto.ca" xr:uid="{00000000-0004-0000-0B00-000020000000}"/>
    <hyperlink ref="K191" r:id="rId34" xr:uid="{00000000-0004-0000-0B00-000021000000}"/>
    <hyperlink ref="K56" r:id="rId35" display="mailto:elizabeth.sutherland@utoronto.ca" xr:uid="{00000000-0004-0000-0B00-000022000000}"/>
    <hyperlink ref="K57" r:id="rId36" display="mailto:elizabeth.sutherland@utoronto.ca" xr:uid="{00000000-0004-0000-0B00-000023000000}"/>
    <hyperlink ref="K146" r:id="rId37" display="mailto:nelson.cabral@utoronto.ca" xr:uid="{00000000-0004-0000-0B00-000024000000}"/>
    <hyperlink ref="K145" r:id="rId38" display="mailto:nelson.cabral@utoronto.ca" xr:uid="{00000000-0004-0000-0B00-000025000000}"/>
    <hyperlink ref="K147" r:id="rId39" display="mailto:nelson.cabral@utoronto.ca" xr:uid="{00000000-0004-0000-0B00-000026000000}"/>
    <hyperlink ref="K148" r:id="rId40" display="mailto:nelson.cabral@utoronto.ca" xr:uid="{00000000-0004-0000-0B00-000027000000}"/>
    <hyperlink ref="K157" r:id="rId41" display="mailto:paula.smellie@utoronto.ca" xr:uid="{00000000-0004-0000-0B00-000028000000}"/>
    <hyperlink ref="K158" r:id="rId42" display="mailto:paula.smellie@utoronto.ca" xr:uid="{00000000-0004-0000-0B00-000029000000}"/>
    <hyperlink ref="K274" r:id="rId43" display="mailto:lynette.anderson@utoronto.ca" xr:uid="{00000000-0004-0000-0B00-00002A000000}"/>
    <hyperlink ref="K275" r:id="rId44" display="mailto:lynette.anderson@utoronto.ca" xr:uid="{00000000-0004-0000-0B00-00002B000000}"/>
    <hyperlink ref="K303" r:id="rId45" display="mailto:katrina.soh@utoronto.ca" xr:uid="{00000000-0004-0000-0B00-00002C000000}"/>
    <hyperlink ref="K281" r:id="rId46" xr:uid="{00000000-0004-0000-0B00-00002D000000}"/>
    <hyperlink ref="K197" r:id="rId47" xr:uid="{00000000-0004-0000-0B00-00002E000000}"/>
    <hyperlink ref="K152" r:id="rId48" display="mailto:merle.casci@utoronto.ca" xr:uid="{00000000-0004-0000-0B00-00002F000000}"/>
    <hyperlink ref="K140" r:id="rId49" display="mailto:christine.kreutzer@utoronto.ca" xr:uid="{00000000-0004-0000-0B00-000030000000}"/>
    <hyperlink ref="K168" r:id="rId50" display="mailto:katrina.soh@utoronto.ca" xr:uid="{00000000-0004-0000-0B00-000031000000}"/>
    <hyperlink ref="K29" r:id="rId51" display="mailto:angela.rosa@utoronto.ca" xr:uid="{00000000-0004-0000-0B00-000032000000}"/>
    <hyperlink ref="K21" r:id="rId52" tooltip="arlene.smith@utoronto.ca" display="mailto:arlene.smith@utoronto.ca" xr:uid="{00000000-0004-0000-0B00-000033000000}"/>
    <hyperlink ref="K22" r:id="rId53" tooltip="arlene.smith@utoronto.ca" display="mailto:arlene.smith@utoronto.ca" xr:uid="{00000000-0004-0000-0B00-000034000000}"/>
    <hyperlink ref="K23" r:id="rId54" xr:uid="{00000000-0004-0000-0B00-000035000000}"/>
    <hyperlink ref="K318" r:id="rId55" display="mailto:katrina.soh@utoronto.ca" xr:uid="{00000000-0004-0000-0B00-000036000000}"/>
    <hyperlink ref="K192" r:id="rId56" display="mailto:angela.rosa@utoronto.ca" xr:uid="{00000000-0004-0000-0B00-000037000000}"/>
    <hyperlink ref="K258" r:id="rId57" display="mailto:katrina.soh@utoronto.ca" xr:uid="{00000000-0004-0000-0B00-000038000000}"/>
    <hyperlink ref="K259" r:id="rId58" display="mailto:katrina.soh@utoronto.ca" xr:uid="{00000000-0004-0000-0B00-000039000000}"/>
    <hyperlink ref="K260" r:id="rId59" display="mailto:katrina.soh@utoronto.ca" xr:uid="{00000000-0004-0000-0B00-00003A000000}"/>
    <hyperlink ref="K257" r:id="rId60" display="mailto:katrina.soh@utoronto.ca" xr:uid="{00000000-0004-0000-0B00-00003B000000}"/>
    <hyperlink ref="K198" r:id="rId61" xr:uid="{00000000-0004-0000-0B00-00003C000000}"/>
    <hyperlink ref="K75" r:id="rId62" display="mailto:djob@chem.utoronto.ca" xr:uid="{00000000-0004-0000-0B00-00003D000000}"/>
    <hyperlink ref="K300" r:id="rId63" display="mailto:katrina.soh@utoronto.ca" xr:uid="{00000000-0004-0000-0B00-00003E000000}"/>
    <hyperlink ref="K301" r:id="rId64" display="mailto:katrina.soh@utoronto.ca" xr:uid="{00000000-0004-0000-0B00-00003F000000}"/>
    <hyperlink ref="K244" r:id="rId65" display="mailto:katrina.soh@utoronto.ca" xr:uid="{00000000-0004-0000-0B00-000040000000}"/>
    <hyperlink ref="K33" r:id="rId66" xr:uid="{00000000-0004-0000-0B00-000041000000}"/>
    <hyperlink ref="K32" r:id="rId67" display="mailto:angela.rosa@utoronto.ca" xr:uid="{00000000-0004-0000-0B00-000042000000}"/>
    <hyperlink ref="E65" r:id="rId68" xr:uid="{00000000-0004-0000-0B00-000043000000}"/>
    <hyperlink ref="E206" r:id="rId69" xr:uid="{00000000-0004-0000-0B00-000044000000}"/>
    <hyperlink ref="K214" r:id="rId70" display="mailto:katrina.soh@utoronto.ca" xr:uid="{00000000-0004-0000-0B00-000045000000}"/>
    <hyperlink ref="K215" r:id="rId71" display="mailto:katrina.soh@utoronto.ca" xr:uid="{00000000-0004-0000-0B00-000046000000}"/>
    <hyperlink ref="E76" r:id="rId72" display="mailto:aaron.wheeler@utoronto.ca" xr:uid="{00000000-0004-0000-0B00-000047000000}"/>
    <hyperlink ref="E74" r:id="rId73" display="mailto:aaron.wheeler@utoronto.ca" xr:uid="{00000000-0004-0000-0B00-000048000000}"/>
    <hyperlink ref="E75" r:id="rId74" display="mailto:aaron.wheeler@utoronto.ca" xr:uid="{00000000-0004-0000-0B00-000049000000}"/>
    <hyperlink ref="E77" r:id="rId75" display="mailto:aaron.wheeler@utoronto.ca" xr:uid="{00000000-0004-0000-0B00-00004A000000}"/>
    <hyperlink ref="K31" r:id="rId76" display="mailto:angela.rosa@utoronto.ca" xr:uid="{00000000-0004-0000-0B00-00004B000000}"/>
    <hyperlink ref="K34" r:id="rId77" display="mailto:angela.rosa@utoronto.ca" xr:uid="{00000000-0004-0000-0B00-00004C000000}"/>
    <hyperlink ref="K52" r:id="rId78" display="mailto:angela.rosa@utoronto.ca" xr:uid="{00000000-0004-0000-0B00-00004D000000}"/>
    <hyperlink ref="K53" r:id="rId79" display="mailto:angela.rosa@utoronto.ca" xr:uid="{00000000-0004-0000-0B00-00004E000000}"/>
    <hyperlink ref="K253:K254" r:id="rId80" display="mailto:katrina.soh@utoronto.ca" xr:uid="{00000000-0004-0000-0B00-00004F000000}"/>
    <hyperlink ref="K74" r:id="rId81" display="mailto:djob@chem.utoronto.ca" xr:uid="{00000000-0004-0000-0B00-000050000000}"/>
    <hyperlink ref="K76" r:id="rId82" display="mailto:djob@chem.utoronto.ca" xr:uid="{00000000-0004-0000-0B00-000051000000}"/>
    <hyperlink ref="K77" r:id="rId83" display="mailto:djob@chem.utoronto.ca" xr:uid="{00000000-0004-0000-0B00-000052000000}"/>
    <hyperlink ref="K313" r:id="rId84" display="mailto:katrina.soh@utoronto.ca" xr:uid="{00000000-0004-0000-0B00-000053000000}"/>
    <hyperlink ref="K310" r:id="rId85" display="mailto:katrina.soh@utoronto.ca" xr:uid="{00000000-0004-0000-0B00-000054000000}"/>
    <hyperlink ref="K279" r:id="rId86" display="mailto:immunology.office@utoronto.ca" xr:uid="{00000000-0004-0000-0B00-000055000000}"/>
    <hyperlink ref="K177" r:id="rId87" display="mailto:immunology.office@utoronto.ca" xr:uid="{00000000-0004-0000-0B00-000056000000}"/>
    <hyperlink ref="K103" r:id="rId88" display="mailto:immunology.office@utoronto.ca" xr:uid="{00000000-0004-0000-0B00-000057000000}"/>
    <hyperlink ref="K180" r:id="rId89" display="mailto:immunology.office@utoronto.ca" xr:uid="{00000000-0004-0000-0B00-000058000000}"/>
    <hyperlink ref="K182" r:id="rId90" display="mailto:immunology.office@utoronto.ca" xr:uid="{00000000-0004-0000-0B00-000059000000}"/>
    <hyperlink ref="K240:K241" r:id="rId91" display="mailto:nancy.calabrese@utoronto.ca" xr:uid="{00000000-0004-0000-0B00-00005A000000}"/>
    <hyperlink ref="K18" r:id="rId92" display="mailto:nancy.calabrese@utoronto.ca" xr:uid="{00000000-0004-0000-0B00-00005B000000}"/>
    <hyperlink ref="K150" r:id="rId93" display="mailto:nancy.calabrese@utoronto.ca" xr:uid="{00000000-0004-0000-0B00-00005C000000}"/>
    <hyperlink ref="K151" r:id="rId94" display="mailto:nancy.calabrese@utoronto.ca" xr:uid="{00000000-0004-0000-0B00-00005D000000}"/>
    <hyperlink ref="K333" r:id="rId95" display="mailto:nancy.calabrese@utoronto.ca" xr:uid="{00000000-0004-0000-0B00-00005E000000}"/>
    <hyperlink ref="K337" r:id="rId96" display="mailto:nancy.calabrese@utoronto.ca" xr:uid="{00000000-0004-0000-0B00-00005F000000}"/>
    <hyperlink ref="K49" r:id="rId97" display="mailto:nancy.calabrese@utoronto.ca" xr:uid="{00000000-0004-0000-0B00-000060000000}"/>
    <hyperlink ref="K107:K108" r:id="rId98" display="mailto:nancy.calabrese@utoronto.ca" xr:uid="{00000000-0004-0000-0B00-000061000000}"/>
    <hyperlink ref="K297" r:id="rId99" xr:uid="{00000000-0004-0000-0B00-000062000000}"/>
    <hyperlink ref="K203" r:id="rId100" display="mailto:nancy.calabrese@utoronto.ca" xr:uid="{00000000-0004-0000-0B00-000063000000}"/>
    <hyperlink ref="K107" r:id="rId101" display="mailto:angela.rosa@utoronto.ca" xr:uid="{00000000-0004-0000-0B00-000064000000}"/>
    <hyperlink ref="K111" r:id="rId102" display="mailto:angela.rosa@utoronto.ca" xr:uid="{00000000-0004-0000-0B00-000065000000}"/>
    <hyperlink ref="K270" r:id="rId103" display="mailto:katrina.soh@utoronto.ca" xr:uid="{00000000-0004-0000-0B00-000066000000}"/>
    <hyperlink ref="K321" r:id="rId104" display="mailto:merle.casci@utoronto.ca" xr:uid="{00000000-0004-0000-0B00-000067000000}"/>
    <hyperlink ref="K320" r:id="rId105" display="mailto:merle.casci@utoronto.ca" xr:uid="{00000000-0004-0000-0B00-000068000000}"/>
    <hyperlink ref="K129" r:id="rId106" display="mailto:katrina.soh@utoronto.ca" xr:uid="{00000000-0004-0000-0B00-000069000000}"/>
    <hyperlink ref="K161" r:id="rId107" display="mailto:katrina.soh@utoronto.ca" xr:uid="{00000000-0004-0000-0B00-00006A000000}"/>
    <hyperlink ref="K163" r:id="rId108" display="mailto:katrina.soh@utoronto.ca" xr:uid="{00000000-0004-0000-0B00-00006B000000}"/>
    <hyperlink ref="K37" r:id="rId109" display="mailto:nancy.calabrese@utoronto.ca" xr:uid="{00000000-0004-0000-0B00-00006C000000}"/>
    <hyperlink ref="K38" r:id="rId110" display="mailto:nancy.calabrese@utoronto.ca" xr:uid="{00000000-0004-0000-0B00-00006D000000}"/>
    <hyperlink ref="K330" r:id="rId111" display="mailto:katrina.soh@utoronto.ca" xr:uid="{00000000-0004-0000-0B00-00006E000000}"/>
    <hyperlink ref="K179:K180" r:id="rId112" display="mailto:lynette.anderson@utoronto.ca" xr:uid="{00000000-0004-0000-0B00-00006F000000}"/>
    <hyperlink ref="K167" r:id="rId113" display="anna.capizzano@sickkids.ca, " xr:uid="{00000000-0004-0000-0B00-000070000000}"/>
    <hyperlink ref="K184:K185" r:id="rId114" display="anna.capizzano@sickkids.ca, " xr:uid="{00000000-0004-0000-0B00-000071000000}"/>
    <hyperlink ref="K169" r:id="rId115" display="mailto:katrina.soh@utoronto.ca" xr:uid="{00000000-0004-0000-0B00-000072000000}"/>
    <hyperlink ref="K212" r:id="rId116" display="mailto:lynette.anderson@utoronto.ca" xr:uid="{00000000-0004-0000-0B00-000073000000}"/>
    <hyperlink ref="K20" r:id="rId117" tooltip="arlene.smith@utoronto.ca" display="mailto:arlene.smith@utoronto.ca" xr:uid="{00000000-0004-0000-0B00-000074000000}"/>
    <hyperlink ref="K256" r:id="rId118" display="mailto:katrina.soh@utoronto.ca" xr:uid="{00000000-0004-0000-0B00-000075000000}"/>
    <hyperlink ref="K175" r:id="rId119" xr:uid="{00000000-0004-0000-0B00-000076000000}"/>
    <hyperlink ref="K155" r:id="rId120" xr:uid="{00000000-0004-0000-0B00-000077000000}"/>
    <hyperlink ref="K156" r:id="rId121" xr:uid="{00000000-0004-0000-0B00-000078000000}"/>
    <hyperlink ref="K159" r:id="rId122" display="mailto:paula.smellie@utoronto.ca" xr:uid="{00000000-0004-0000-0B00-000079000000}"/>
    <hyperlink ref="K13" r:id="rId123" display="mailto:paula.smellie@utoronto.ca" xr:uid="{00000000-0004-0000-0B00-00007A000000}"/>
    <hyperlink ref="K199" r:id="rId124" xr:uid="{00000000-0004-0000-0B00-00007B000000}"/>
    <hyperlink ref="K28" r:id="rId125" display="mailto:angela.rosa@utoronto.ca" xr:uid="{00000000-0004-0000-0B00-00007C000000}"/>
    <hyperlink ref="K161:K162" r:id="rId126" display="mailto:nelson.cabral@utoronto.ca" xr:uid="{00000000-0004-0000-0B00-00007D000000}"/>
    <hyperlink ref="K157:K158" r:id="rId127" display="mailto:elizabeth.sutherland@utoronto.ca" xr:uid="{00000000-0004-0000-0B00-00007E000000}"/>
    <hyperlink ref="K80" r:id="rId128" xr:uid="{00000000-0004-0000-0B00-00007F000000}"/>
    <hyperlink ref="K220" r:id="rId129" display="mailto:katrina.soh@utoronto.ca" xr:uid="{00000000-0004-0000-0B00-000080000000}"/>
    <hyperlink ref="K221" r:id="rId130" display="mailto:katrina.soh@utoronto.ca" xr:uid="{00000000-0004-0000-0B00-000081000000}"/>
    <hyperlink ref="K309" r:id="rId131" display="mailto:merle.casci@utoronto.ca" xr:uid="{00000000-0004-0000-0B00-000082000000}"/>
    <hyperlink ref="K105" r:id="rId132" display="mailto:angela.rosa@utoronto.ca" xr:uid="{00000000-0004-0000-0B00-000083000000}"/>
    <hyperlink ref="K171" r:id="rId133" display="mailto:Ivan.Cheng@utoronto.ca" xr:uid="{00000000-0004-0000-0B00-000084000000}"/>
    <hyperlink ref="K172" r:id="rId134" display="mailto:Ivan.Cheng@utoronto.ca" xr:uid="{00000000-0004-0000-0B00-000085000000}"/>
    <hyperlink ref="K14" r:id="rId135" display="mailto:Ivan.Cheng@utoronto.ca" xr:uid="{00000000-0004-0000-0B00-000086000000}"/>
    <hyperlink ref="K265" r:id="rId136" display="mailto:Ivan.Cheng@utoronto.ca" xr:uid="{00000000-0004-0000-0B00-000087000000}"/>
    <hyperlink ref="K217" r:id="rId137" display="mailto:lynette.anderson@utoronto.ca" xr:uid="{00000000-0004-0000-0B00-000088000000}"/>
    <hyperlink ref="K118:K119" r:id="rId138" display="mailto:lynette.anderson@utoronto.ca" xr:uid="{00000000-0004-0000-0B00-000089000000}"/>
    <hyperlink ref="K188" r:id="rId139" display="mailto:christine.kreutzer@utoronto.ca" xr:uid="{00000000-0004-0000-0B00-00008A000000}"/>
    <hyperlink ref="K289" r:id="rId140" display="mailto:merle.casci@utoronto.ca" xr:uid="{00000000-0004-0000-0B00-00008B000000}"/>
    <hyperlink ref="K210" r:id="rId141" display="mailto:Ivan.Cheng@utoronto.ca" xr:uid="{00000000-0004-0000-0B00-00008C000000}"/>
    <hyperlink ref="K139" r:id="rId142" display="mailto:christine.kreutzer@utoronto.ca" xr:uid="{00000000-0004-0000-0B00-00008D000000}"/>
    <hyperlink ref="K138" r:id="rId143" xr:uid="{00000000-0004-0000-0B00-00008E000000}"/>
    <hyperlink ref="K223" r:id="rId144" display="anna.capizzano@sickkids.ca, " xr:uid="{00000000-0004-0000-0B00-00008F000000}"/>
    <hyperlink ref="K273" r:id="rId145" xr:uid="{00000000-0004-0000-0B00-000090000000}"/>
    <hyperlink ref="K51" r:id="rId146" display="mailto:djob@chem.utoronto.ca" xr:uid="{00000000-0004-0000-0B00-000091000000}"/>
    <hyperlink ref="K208" r:id="rId147" display="mailto:elizabeth.sutherland@utoronto.ca" xr:uid="{00000000-0004-0000-0B00-000092000000}"/>
    <hyperlink ref="K121" r:id="rId148" xr:uid="{00000000-0004-0000-0B00-000093000000}"/>
    <hyperlink ref="K109" r:id="rId149" xr:uid="{00000000-0004-0000-0B00-000094000000}"/>
    <hyperlink ref="K96" r:id="rId150" display="mailto:jessica.bailey@utoronto.ca" xr:uid="{00000000-0004-0000-0B00-000095000000}"/>
    <hyperlink ref="E223" r:id="rId151" xr:uid="{00000000-0004-0000-0B00-000096000000}"/>
    <hyperlink ref="E96" r:id="rId152" display="mailto:patrick.gunning@utoronto.ca" xr:uid="{00000000-0004-0000-0B00-000097000000}"/>
    <hyperlink ref="E265" r:id="rId153" display="mailto:Leong-poiH@smh.ca" xr:uid="{00000000-0004-0000-0B00-000098000000}"/>
    <hyperlink ref="E337" r:id="rId154" display="mailto:nir.lipsman@utoronto.ca" xr:uid="{00000000-0004-0000-0B00-000099000000}"/>
    <hyperlink ref="E273" r:id="rId155" display="mailto:jan.robertson@utoronto.ca" xr:uid="{00000000-0004-0000-0B00-00009A000000}"/>
    <hyperlink ref="E205" r:id="rId156" xr:uid="{00000000-0004-0000-0B00-00009B000000}"/>
    <hyperlink ref="E224" r:id="rId157" xr:uid="{00000000-0004-0000-0B00-00009C000000}"/>
    <hyperlink ref="K224" r:id="rId158" display="mailto:immunology.office@utoronto.ca" xr:uid="{00000000-0004-0000-0B00-00009D000000}"/>
    <hyperlink ref="K97" r:id="rId159" display="mailto:elisabete@mie.utoronto.ca" xr:uid="{00000000-0004-0000-0B00-00009E000000}"/>
    <hyperlink ref="K120" r:id="rId160" display="mailto:elisabete@mie.utoronto.ca" xr:uid="{00000000-0004-0000-0B00-00009F000000}"/>
    <hyperlink ref="K75:K76" r:id="rId161" display="mailto:elisabete@mie.utoronto.ca" xr:uid="{00000000-0004-0000-0B00-0000A0000000}"/>
    <hyperlink ref="K328" r:id="rId162" display="mailto:elisabete@mie.utoronto.ca" xr:uid="{00000000-0004-0000-0B00-0000A1000000}"/>
    <hyperlink ref="K272" r:id="rId163" display="mailto:Ivan.Cheng@utoronto.ca" xr:uid="{00000000-0004-0000-0B00-0000A2000000}"/>
    <hyperlink ref="K230" r:id="rId164" display="mailto:katrina.soh@utoronto.ca" xr:uid="{00000000-0004-0000-0B00-0000A3000000}"/>
    <hyperlink ref="K5" r:id="rId165" display="mailto:angela.rosa@utoronto.ca" xr:uid="{00000000-0004-0000-0B00-0000A4000000}"/>
    <hyperlink ref="E6" r:id="rId166" xr:uid="{00000000-0004-0000-0B00-0000A5000000}"/>
    <hyperlink ref="K6" r:id="rId167" display="mailto:angela.rosa@utoronto.ca" xr:uid="{00000000-0004-0000-0B00-0000A6000000}"/>
    <hyperlink ref="E230" r:id="rId168" xr:uid="{00000000-0004-0000-0B00-0000A7000000}"/>
    <hyperlink ref="K234" r:id="rId169" display="mailto:nancy.calabrese@utoronto.ca" xr:uid="{00000000-0004-0000-0B00-0000A8000000}"/>
    <hyperlink ref="E247" r:id="rId170" xr:uid="{00000000-0004-0000-0B00-0000A9000000}"/>
    <hyperlink ref="E297" r:id="rId171" xr:uid="{00000000-0004-0000-0B00-0000AA000000}"/>
    <hyperlink ref="E131" r:id="rId172" xr:uid="{00000000-0004-0000-0B00-0000AB000000}"/>
    <hyperlink ref="E305" r:id="rId173" xr:uid="{00000000-0004-0000-0B00-0000AC000000}"/>
    <hyperlink ref="E110" r:id="rId174" xr:uid="{00000000-0004-0000-0B00-0000AD000000}"/>
    <hyperlink ref="E56" r:id="rId175" xr:uid="{00000000-0004-0000-0B00-0000AE000000}"/>
    <hyperlink ref="E125" r:id="rId176" xr:uid="{00000000-0004-0000-0B00-0000AF000000}"/>
    <hyperlink ref="K231" r:id="rId177" display="mailto:angela.rosa@utoronto.ca" xr:uid="{00000000-0004-0000-0B00-0000B0000000}"/>
    <hyperlink ref="K112" r:id="rId178" display="mailto:angela.rosa@utoronto.ca" xr:uid="{00000000-0004-0000-0B00-0000B1000000}"/>
    <hyperlink ref="K8" r:id="rId179" xr:uid="{00000000-0004-0000-0B00-0000B2000000}"/>
    <hyperlink ref="K17" r:id="rId180" xr:uid="{00000000-0004-0000-0B00-0000B3000000}"/>
    <hyperlink ref="E17" r:id="rId181" xr:uid="{00000000-0004-0000-0B00-0000B4000000}"/>
    <hyperlink ref="E225" r:id="rId182" xr:uid="{00000000-0004-0000-0B00-0000B5000000}"/>
    <hyperlink ref="K225" r:id="rId183" display="mailto:immunology.office@utoronto.ca" xr:uid="{00000000-0004-0000-0B00-0000B6000000}"/>
    <hyperlink ref="E231" r:id="rId184" xr:uid="{00000000-0004-0000-0B00-0000B7000000}"/>
    <hyperlink ref="E298" r:id="rId185" xr:uid="{00000000-0004-0000-0B00-0000B8000000}"/>
    <hyperlink ref="K298" r:id="rId186" xr:uid="{00000000-0004-0000-0B00-0000B9000000}"/>
    <hyperlink ref="K164" r:id="rId187" display="mailto:katrina.soh@utoronto.ca" xr:uid="{00000000-0004-0000-0B00-0000BA000000}"/>
    <hyperlink ref="K81" r:id="rId188" xr:uid="{00000000-0004-0000-0B00-0000BB000000}"/>
    <hyperlink ref="E132" r:id="rId189" xr:uid="{00000000-0004-0000-0B00-0000BC000000}"/>
    <hyperlink ref="K170" r:id="rId190" display="mailto:katrina.soh@utoronto.ca" xr:uid="{00000000-0004-0000-0B00-0000BD000000}"/>
    <hyperlink ref="E306" r:id="rId191" xr:uid="{00000000-0004-0000-0B00-0000BE000000}"/>
    <hyperlink ref="E126" r:id="rId192" xr:uid="{00000000-0004-0000-0B00-0000BF000000}"/>
    <hyperlink ref="E263" r:id="rId193" xr:uid="{00000000-0004-0000-0B00-0000C0000000}"/>
    <hyperlink ref="K134" r:id="rId194" xr:uid="{00000000-0004-0000-0B00-0000C1000000}"/>
    <hyperlink ref="E19" r:id="rId195" xr:uid="{00000000-0004-0000-0B00-0000C2000000}"/>
    <hyperlink ref="K88" r:id="rId196" xr:uid="{00000000-0004-0000-0B00-0000C3000000}"/>
    <hyperlink ref="K89" r:id="rId197" xr:uid="{00000000-0004-0000-0B00-0000C4000000}"/>
    <hyperlink ref="K111:K114" r:id="rId198" display="finance.phm@utoronto.ca" xr:uid="{00000000-0004-0000-0B00-0000C5000000}"/>
    <hyperlink ref="K54" r:id="rId199" display="mailto:angela.rosa@utoronto.ca" xr:uid="{00000000-0004-0000-0B00-0000C6000000}"/>
    <hyperlink ref="E116" r:id="rId200" xr:uid="{00000000-0004-0000-0B00-0000C7000000}"/>
    <hyperlink ref="E232" r:id="rId201" xr:uid="{00000000-0004-0000-0B00-0000C8000000}"/>
    <hyperlink ref="K232" r:id="rId202" display="mailto:angela.rosa@utoronto.ca" xr:uid="{00000000-0004-0000-0B00-0000C9000000}"/>
    <hyperlink ref="K227" r:id="rId203" display="mailto:angela.rosa@utoronto.ca" xr:uid="{00000000-0004-0000-0B00-0000CA000000}"/>
    <hyperlink ref="E134" r:id="rId204" display="mailto:robert.hamilton@sickkids.ca" xr:uid="{00000000-0004-0000-0B00-0000CB000000}"/>
    <hyperlink ref="K90" r:id="rId205" xr:uid="{00000000-0004-0000-0B00-0000CC000000}"/>
    <hyperlink ref="K286" r:id="rId206" display="mailto:angelika.kocan@utoronto.ca" xr:uid="{00000000-0004-0000-0B00-0000CD000000}"/>
    <hyperlink ref="E248" r:id="rId207" xr:uid="{00000000-0004-0000-0B00-0000CE000000}"/>
    <hyperlink ref="K248" r:id="rId208" display="mailto:konstantin@mie.utoronto.ca" xr:uid="{00000000-0004-0000-0B00-0000CF000000}"/>
    <hyperlink ref="K124" r:id="rId209" display="mailto:angela.rosa@utoronto.ca" xr:uid="{00000000-0004-0000-0B00-0000D0000000}"/>
    <hyperlink ref="K173" r:id="rId210" display="mailto:Ivan.Cheng@utoronto.ca" xr:uid="{00000000-0004-0000-0B00-0000D1000000}"/>
    <hyperlink ref="K332" r:id="rId211" display="mailto:elisabete@mie.utoronto.ca" xr:uid="{00000000-0004-0000-0B00-0000D2000000}"/>
    <hyperlink ref="K113" r:id="rId212" display="mailto:angela.rosa@utoronto.ca" xr:uid="{00000000-0004-0000-0B00-0000D3000000}"/>
    <hyperlink ref="K118" r:id="rId213" xr:uid="{00000000-0004-0000-0B00-0000D4000000}"/>
    <hyperlink ref="K267" r:id="rId214" display="mailto:lynette.anderson@utoronto.ca" xr:uid="{00000000-0004-0000-0B00-0000D5000000}"/>
    <hyperlink ref="K325" r:id="rId215" display="mailto:merle.casci@utoronto.ca" xr:uid="{00000000-0004-0000-0B00-0000D6000000}"/>
    <hyperlink ref="K189" r:id="rId216" xr:uid="{00000000-0004-0000-0B00-0000D7000000}"/>
    <hyperlink ref="K222" r:id="rId217" display="mailto:katrina.soh@utoronto.ca" xr:uid="{00000000-0004-0000-0B00-0000D8000000}"/>
    <hyperlink ref="K100" r:id="rId218" tooltip="arlene.smith@utoronto.ca" display="mailto:arlene.smith@utoronto.ca" xr:uid="{00000000-0004-0000-0B00-0000D9000000}"/>
    <hyperlink ref="K101" r:id="rId219" tooltip="arlene.smith@utoronto.ca" display="mailto:arlene.smith@utoronto.ca" xr:uid="{00000000-0004-0000-0B00-0000DA000000}"/>
    <hyperlink ref="K314" r:id="rId220" display="mailto:katrina.soh@utoronto.ca" xr:uid="{00000000-0004-0000-0B00-0000DB000000}"/>
    <hyperlink ref="E133" r:id="rId221" xr:uid="{00000000-0004-0000-0B00-0000DC000000}"/>
    <hyperlink ref="K141" r:id="rId222" display="mailto:nancy.calabrese@utoronto.ca" xr:uid="{00000000-0004-0000-0B00-0000DD000000}"/>
    <hyperlink ref="K213" r:id="rId223" display="mailto:lynette.anderson@utoronto.ca" xr:uid="{00000000-0004-0000-0B00-0000DE000000}"/>
    <hyperlink ref="K24" r:id="rId224" xr:uid="{00000000-0004-0000-0B00-0000DF000000}"/>
    <hyperlink ref="E307" r:id="rId225" xr:uid="{00000000-0004-0000-0B00-0000E0000000}"/>
    <hyperlink ref="K261" r:id="rId226" display="mailto:katrina.soh@utoronto.ca" xr:uid="{00000000-0004-0000-0B00-0000E1000000}"/>
    <hyperlink ref="K200" r:id="rId227" xr:uid="{00000000-0004-0000-0B00-0000E2000000}"/>
    <hyperlink ref="E78" r:id="rId228" display="mailto:aaron.wheeler@utoronto.ca" xr:uid="{00000000-0004-0000-0B00-0000E3000000}"/>
    <hyperlink ref="K78" r:id="rId229" display="mailto:djob@chem.utoronto.ca" xr:uid="{00000000-0004-0000-0B00-0000E4000000}"/>
    <hyperlink ref="K55" r:id="rId230" display="mailto:angela.rosa@utoronto.ca" xr:uid="{00000000-0004-0000-0B00-0000E5000000}"/>
    <hyperlink ref="K136" r:id="rId231" display="mailto:lynette.anderson@utoronto.ca" xr:uid="{00000000-0004-0000-0B00-0000E6000000}"/>
    <hyperlink ref="K326" r:id="rId232" display="mailto:merle.casci@utoronto.ca" xr:uid="{00000000-0004-0000-0B00-0000E7000000}"/>
    <hyperlink ref="K334" r:id="rId233" display="mailto:nancy.calabrese@utoronto.ca" xr:uid="{00000000-0004-0000-0B00-0000E8000000}"/>
    <hyperlink ref="K25" r:id="rId234" xr:uid="{00000000-0004-0000-0B00-0000E9000000}"/>
    <hyperlink ref="K255" r:id="rId235" xr:uid="{00000000-0004-0000-0B00-0000EA000000}"/>
    <hyperlink ref="E236" r:id="rId236" display="mailto:nilesh.ghugre@utoronto.ca" xr:uid="{00000000-0004-0000-0B00-0000EB000000}"/>
    <hyperlink ref="E136" r:id="rId237" xr:uid="{00000000-0004-0000-0B00-0000EC000000}"/>
    <hyperlink ref="E216" r:id="rId238" xr:uid="{00000000-0004-0000-0B00-0000ED000000}"/>
    <hyperlink ref="K236" r:id="rId239" display="mailto:merle.casci@utoronto.ca" xr:uid="{00000000-0004-0000-0B00-0000EE000000}"/>
    <hyperlink ref="K82" r:id="rId240" xr:uid="{00000000-0004-0000-0B00-0000EF000000}"/>
    <hyperlink ref="K262" r:id="rId241" xr:uid="{00000000-0004-0000-0B00-0000F0000000}"/>
    <hyperlink ref="K216" r:id="rId242" display="mailto:nancy.calabrese@utoronto.ca" xr:uid="{00000000-0004-0000-0B00-0000F1000000}"/>
    <hyperlink ref="K338" r:id="rId243" display="mailto:katrina.soh@utoronto.ca" xr:uid="{00000000-0004-0000-0B00-0000F2000000}"/>
    <hyperlink ref="K30" r:id="rId244" display="mailto:angela.rosa@utoronto.ca" xr:uid="{00000000-0004-0000-0B00-0000F3000000}"/>
    <hyperlink ref="K84" r:id="rId245" display="mailto:elisabete@mie.utoronto.ca" xr:uid="{00000000-0004-0000-0B00-0000F4000000}"/>
    <hyperlink ref="K235" r:id="rId246" xr:uid="{00000000-0004-0000-0B00-0000F5000000}"/>
    <hyperlink ref="E235" r:id="rId247" xr:uid="{00000000-0004-0000-0B00-0000F6000000}"/>
    <hyperlink ref="K98" r:id="rId248" display="mailto:elisabete@mie.utoronto.ca" xr:uid="{00000000-0004-0000-0B00-0000F7000000}"/>
    <hyperlink ref="K176" r:id="rId249" xr:uid="{00000000-0004-0000-0B00-0000F8000000}"/>
    <hyperlink ref="E238" r:id="rId250" xr:uid="{00000000-0004-0000-0B00-0000F9000000}"/>
    <hyperlink ref="K238" r:id="rId251" display="mailto:Ivan.Cheng@utoronto.ca" xr:uid="{00000000-0004-0000-0B00-0000FA000000}"/>
    <hyperlink ref="K204" r:id="rId252" display="mailto:nancy.calabrese@utoronto.ca" xr:uid="{00000000-0004-0000-0B00-0000FB000000}"/>
    <hyperlink ref="E271" r:id="rId253" xr:uid="{00000000-0004-0000-0B00-0000FC000000}"/>
    <hyperlink ref="K271" r:id="rId254" xr:uid="{00000000-0004-0000-0B00-0000FD000000}"/>
    <hyperlink ref="K174" r:id="rId255" display="mailto:Ivan.Cheng@utoronto.ca" xr:uid="{00000000-0004-0000-0B00-0000FE000000}"/>
    <hyperlink ref="K50" r:id="rId256" display="mailto:nancy.calabrese@utoronto.ca" xr:uid="{00000000-0004-0000-0B00-0000FF000000}"/>
    <hyperlink ref="K196" r:id="rId257" display="mailto:elizabeth.sutherland@utoronto.ca" xr:uid="{00000000-0004-0000-0B00-000000010000}"/>
    <hyperlink ref="K304" r:id="rId258" display="mailto:katrina.soh@utoronto.ca" xr:uid="{00000000-0004-0000-0B00-000001010000}"/>
    <hyperlink ref="E288" r:id="rId259" xr:uid="{00000000-0004-0000-0B00-000002010000}"/>
    <hyperlink ref="E98" r:id="rId260" xr:uid="{00000000-0004-0000-0B00-000003010000}"/>
    <hyperlink ref="K287" r:id="rId261" display="mailto:angelika.kocan@utoronto.ca" xr:uid="{00000000-0004-0000-0B00-000004010000}"/>
    <hyperlink ref="K288" r:id="rId262" display="mailto:angelika.kocan@utoronto.ca" xr:uid="{00000000-0004-0000-0B00-000005010000}"/>
    <hyperlink ref="K94" r:id="rId263" display="mailto:angelika.kocan@utoronto.ca" xr:uid="{00000000-0004-0000-0B00-000006010000}"/>
    <hyperlink ref="K306" r:id="rId264" display="mailto:angelika.kocan@utoronto.ca" xr:uid="{00000000-0004-0000-0B00-000007010000}"/>
    <hyperlink ref="K307" r:id="rId265" display="mailto:angelika.kocan@utoronto.ca" xr:uid="{00000000-0004-0000-0B00-000008010000}"/>
    <hyperlink ref="K126" r:id="rId266" display="mailto:angelika.kocan@utoronto.ca" xr:uid="{00000000-0004-0000-0B00-000009010000}"/>
    <hyperlink ref="K125" r:id="rId267" display="mailto:angelika.kocan@utoronto.ca" xr:uid="{00000000-0004-0000-0B00-00000A010000}"/>
    <hyperlink ref="E249" r:id="rId268" xr:uid="{00000000-0004-0000-0B00-00000B010000}"/>
    <hyperlink ref="K249" r:id="rId269" display="mailto:konstantin@mie.utoronto.ca" xr:uid="{00000000-0004-0000-0B00-00000C010000}"/>
    <hyperlink ref="K252" r:id="rId270" display="mailto:lynette.anderson@utoronto.ca" xr:uid="{00000000-0004-0000-0B00-00000D010000}"/>
    <hyperlink ref="K119" r:id="rId271" xr:uid="{00000000-0004-0000-0B00-00000E010000}"/>
    <hyperlink ref="K193" r:id="rId272" display="mailto:angela.rosa@utoronto.ca" xr:uid="{00000000-0004-0000-0B00-00000F010000}"/>
    <hyperlink ref="K160" r:id="rId273" display="mailto:paula.smellie@utoronto.ca" xr:uid="{00000000-0004-0000-0B00-000010010000}"/>
    <hyperlink ref="K149" r:id="rId274" display="mailto:nelson.cabral@utoronto.ca" xr:uid="{00000000-0004-0000-0B00-000011010000}"/>
    <hyperlink ref="K183" r:id="rId275" display="mailto:immunology.office@utoronto.ca" xr:uid="{00000000-0004-0000-0B00-000012010000}"/>
    <hyperlink ref="K253" r:id="rId276" display="mailto:lynette.anderson@utoronto.ca" xr:uid="{00000000-0004-0000-0B00-000013010000}"/>
    <hyperlink ref="E84" r:id="rId277" xr:uid="{00000000-0004-0000-0B00-000014010000}"/>
    <hyperlink ref="K239" r:id="rId278" display="mailto:christine.kreutzer@utoronto.ca" xr:uid="{00000000-0004-0000-0B00-000015010000}"/>
    <hyperlink ref="E239" r:id="rId279" xr:uid="{00000000-0004-0000-0B00-000016010000}"/>
    <hyperlink ref="E7" r:id="rId280" xr:uid="{00000000-0004-0000-0B00-000017010000}"/>
    <hyperlink ref="E240" r:id="rId281" xr:uid="{00000000-0004-0000-0B00-000018010000}"/>
    <hyperlink ref="K102" r:id="rId282" tooltip="arlene.smith@utoronto.ca" display="mailto:arlene.smith@utoronto.ca" xr:uid="{00000000-0004-0000-0B00-000019010000}"/>
    <hyperlink ref="K299" r:id="rId283" xr:uid="{00000000-0004-0000-0B00-00001A010000}"/>
    <hyperlink ref="E299" r:id="rId284" xr:uid="{00000000-0004-0000-0B00-00001B010000}"/>
    <hyperlink ref="K241" r:id="rId285" xr:uid="{00000000-0004-0000-0B00-00001C010000}"/>
    <hyperlink ref="E242" r:id="rId286" display="mailto:agostino.pierro@sickkids.ca" xr:uid="{00000000-0004-0000-0B00-00001D010000}"/>
    <hyperlink ref="K242" r:id="rId287" display="mailto:nancy.calabrese@utoronto.ca" xr:uid="{00000000-0004-0000-0B00-00001E010000}"/>
    <hyperlink ref="E16" r:id="rId288" display="mailto:philip.sherman@sickkids.ca" xr:uid="{00000000-0004-0000-0B00-00001F010000}"/>
    <hyperlink ref="E219" r:id="rId289" xr:uid="{00000000-0004-0000-0B00-000020010000}"/>
    <hyperlink ref="K219" r:id="rId290" display="mailto:katrina.soh@utoronto.ca" xr:uid="{00000000-0004-0000-0B00-000021010000}"/>
    <hyperlink ref="E114" r:id="rId291" xr:uid="{00000000-0004-0000-0B00-000022010000}"/>
    <hyperlink ref="K114" r:id="rId292" display="mailto:angela.rosa@utoronto.ca" xr:uid="{00000000-0004-0000-0B00-000023010000}"/>
    <hyperlink ref="E339" r:id="rId293" xr:uid="{00000000-0004-0000-0B00-000024010000}"/>
    <hyperlink ref="E228" r:id="rId294" xr:uid="{00000000-0004-0000-0B00-000025010000}"/>
    <hyperlink ref="K228" r:id="rId295" display="mailto:angela.rosa@utoronto.ca" xr:uid="{00000000-0004-0000-0B00-000026010000}"/>
    <hyperlink ref="E137" r:id="rId296" xr:uid="{00000000-0004-0000-0B00-000027010000}"/>
    <hyperlink ref="K137" r:id="rId297" display="mailto:lynette.anderson@utoronto.ca" xr:uid="{00000000-0004-0000-0B00-000028010000}"/>
    <hyperlink ref="K233" r:id="rId298" display="mailto:angela.rosa@utoronto.ca" xr:uid="{00000000-0004-0000-0B00-000029010000}"/>
    <hyperlink ref="E186" r:id="rId299" xr:uid="{00000000-0004-0000-0B00-00002A010000}"/>
    <hyperlink ref="E95" r:id="rId300" xr:uid="{00000000-0004-0000-0B00-00002B010000}"/>
    <hyperlink ref="K16" r:id="rId301" display="anna.capizzano@sickkids.ca, " xr:uid="{00000000-0004-0000-0B00-00002C010000}"/>
    <hyperlink ref="K186" r:id="rId302" xr:uid="{00000000-0004-0000-0B00-00002D010000}"/>
    <hyperlink ref="K327" r:id="rId303" display="mailto:angela.rosa@utoronto.ca" xr:uid="{00000000-0004-0000-0B00-00002E010000}"/>
    <hyperlink ref="K319" r:id="rId304" display="mailto:katrina.soh@utoronto.ca" xr:uid="{00000000-0004-0000-0B00-00002F010000}"/>
    <hyperlink ref="K36" r:id="rId305" display="mailto:khosrow.adeli@sickkids.ca" xr:uid="{00000000-0004-0000-0B00-000030010000}"/>
    <hyperlink ref="K209" r:id="rId306" display="mailto:anatomy@utoronto.ca" xr:uid="{00000000-0004-0000-0B00-000031010000}"/>
    <hyperlink ref="K62" r:id="rId307" display="mailto:anatomy@utoronto.ca" xr:uid="{00000000-0004-0000-0B00-000032010000}"/>
    <hyperlink ref="K69" r:id="rId308" xr:uid="{00000000-0004-0000-0B00-000033010000}"/>
    <hyperlink ref="E12" r:id="rId309" xr:uid="{00000000-0004-0000-0B00-000034010000}"/>
    <hyperlink ref="E104" r:id="rId310" xr:uid="{00000000-0004-0000-0B00-000035010000}"/>
    <hyperlink ref="E229" r:id="rId311" xr:uid="{00000000-0004-0000-0B00-000036010000}"/>
    <hyperlink ref="K229" r:id="rId312" display="mailto:angela.rosa@utoronto.ca" xr:uid="{00000000-0004-0000-0B00-000037010000}"/>
    <hyperlink ref="K190" r:id="rId313" xr:uid="{00000000-0004-0000-0B00-000038010000}"/>
  </hyperlinks>
  <pageMargins left="0.7" right="0.7" top="0.75" bottom="0.75" header="0.3" footer="0.3"/>
  <legacyDrawing r:id="rId3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33B8-33AF-4931-BD5E-D6E6B2804303}">
  <sheetPr>
    <tabColor rgb="FFFFC000"/>
  </sheetPr>
  <dimension ref="B2:K13"/>
  <sheetViews>
    <sheetView workbookViewId="0">
      <selection activeCell="I7" sqref="I7"/>
    </sheetView>
  </sheetViews>
  <sheetFormatPr defaultRowHeight="15"/>
  <cols>
    <col min="2" max="2" width="27.85546875" bestFit="1" customWidth="1"/>
    <col min="3" max="3" width="20.42578125" bestFit="1" customWidth="1"/>
    <col min="8" max="8" width="27.85546875" bestFit="1" customWidth="1"/>
    <col min="9" max="9" width="14" bestFit="1" customWidth="1"/>
    <col min="10" max="10" width="11" bestFit="1" customWidth="1"/>
  </cols>
  <sheetData>
    <row r="2" spans="2:11">
      <c r="B2" s="198" t="s">
        <v>161</v>
      </c>
      <c r="C2" t="s">
        <v>162</v>
      </c>
      <c r="H2" s="198" t="s">
        <v>161</v>
      </c>
      <c r="I2" t="s">
        <v>90</v>
      </c>
      <c r="J2" t="s">
        <v>91</v>
      </c>
      <c r="K2" t="s">
        <v>11</v>
      </c>
    </row>
    <row r="3" spans="2:11">
      <c r="B3" s="199" t="s">
        <v>59</v>
      </c>
      <c r="C3">
        <v>17</v>
      </c>
      <c r="H3" s="199" t="s">
        <v>59</v>
      </c>
      <c r="I3">
        <v>1470650</v>
      </c>
      <c r="J3">
        <v>490167.65</v>
      </c>
      <c r="K3">
        <f>SUM(I3:J3)</f>
        <v>1960817.65</v>
      </c>
    </row>
    <row r="4" spans="2:11">
      <c r="B4" s="199" t="s">
        <v>6</v>
      </c>
      <c r="C4">
        <v>6</v>
      </c>
      <c r="H4" s="199" t="s">
        <v>6</v>
      </c>
      <c r="I4">
        <v>1056698</v>
      </c>
      <c r="J4">
        <v>352201.44</v>
      </c>
      <c r="K4">
        <f t="shared" ref="K4:K13" si="0">SUM(I4:J4)</f>
        <v>1408899.44</v>
      </c>
    </row>
    <row r="5" spans="2:11">
      <c r="B5" s="199" t="s">
        <v>98</v>
      </c>
      <c r="C5">
        <v>16</v>
      </c>
      <c r="H5" s="199" t="s">
        <v>98</v>
      </c>
      <c r="I5">
        <v>1208880</v>
      </c>
      <c r="J5">
        <v>402919.71</v>
      </c>
      <c r="K5">
        <f t="shared" si="0"/>
        <v>1611799.71</v>
      </c>
    </row>
    <row r="6" spans="2:11">
      <c r="B6" s="199" t="s">
        <v>54</v>
      </c>
      <c r="C6">
        <v>4</v>
      </c>
      <c r="H6" s="199" t="s">
        <v>54</v>
      </c>
      <c r="I6">
        <v>278810</v>
      </c>
      <c r="J6">
        <v>92927.37</v>
      </c>
      <c r="K6">
        <f t="shared" si="0"/>
        <v>371737.37</v>
      </c>
    </row>
    <row r="7" spans="2:11">
      <c r="B7" s="199" t="s">
        <v>8</v>
      </c>
      <c r="C7">
        <v>8</v>
      </c>
      <c r="H7" s="199" t="s">
        <v>8</v>
      </c>
      <c r="I7">
        <v>1797384</v>
      </c>
      <c r="J7">
        <v>599068.08000000007</v>
      </c>
      <c r="K7">
        <f t="shared" si="0"/>
        <v>2396452.08</v>
      </c>
    </row>
    <row r="8" spans="2:11">
      <c r="B8" s="199" t="s">
        <v>163</v>
      </c>
      <c r="C8">
        <v>9</v>
      </c>
      <c r="H8" s="199" t="s">
        <v>163</v>
      </c>
      <c r="I8">
        <v>299844.90999999997</v>
      </c>
      <c r="J8">
        <v>99938.31</v>
      </c>
      <c r="K8">
        <f t="shared" si="0"/>
        <v>399783.22</v>
      </c>
    </row>
    <row r="9" spans="2:11">
      <c r="B9" s="199" t="s">
        <v>164</v>
      </c>
      <c r="C9">
        <v>8</v>
      </c>
      <c r="H9" s="199" t="s">
        <v>164</v>
      </c>
      <c r="I9">
        <v>410024.83</v>
      </c>
      <c r="J9">
        <v>136661.28</v>
      </c>
      <c r="K9">
        <f t="shared" si="0"/>
        <v>546686.11</v>
      </c>
    </row>
    <row r="10" spans="2:11">
      <c r="B10" s="199" t="s">
        <v>165</v>
      </c>
      <c r="C10">
        <v>94</v>
      </c>
      <c r="H10" s="199" t="s">
        <v>165</v>
      </c>
      <c r="I10">
        <v>6872278.4699999997</v>
      </c>
      <c r="J10">
        <v>2290534.4700000002</v>
      </c>
      <c r="K10">
        <f t="shared" si="0"/>
        <v>9162812.9399999995</v>
      </c>
    </row>
    <row r="11" spans="2:11">
      <c r="B11" s="199" t="s">
        <v>166</v>
      </c>
      <c r="C11">
        <v>2</v>
      </c>
      <c r="H11" s="199" t="s">
        <v>166</v>
      </c>
      <c r="I11">
        <v>25000</v>
      </c>
      <c r="J11">
        <v>8332.5</v>
      </c>
      <c r="K11">
        <f t="shared" si="0"/>
        <v>33332.5</v>
      </c>
    </row>
    <row r="12" spans="2:11">
      <c r="B12" s="199" t="s">
        <v>105</v>
      </c>
      <c r="C12">
        <v>164</v>
      </c>
      <c r="H12" s="199" t="s">
        <v>105</v>
      </c>
      <c r="I12">
        <v>13419570.210000001</v>
      </c>
      <c r="J12">
        <v>4472750.8100000005</v>
      </c>
      <c r="K12">
        <f t="shared" si="0"/>
        <v>17892321.020000003</v>
      </c>
    </row>
    <row r="13" spans="2:11">
      <c r="K13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4792-8C0B-4F8E-A84A-34B466C34A85}">
  <sheetPr>
    <tabColor rgb="FF002060"/>
  </sheetPr>
  <dimension ref="A1:J169"/>
  <sheetViews>
    <sheetView workbookViewId="0">
      <selection activeCell="D20" sqref="D20"/>
    </sheetView>
  </sheetViews>
  <sheetFormatPr defaultRowHeight="15"/>
  <cols>
    <col min="3" max="3" width="42.28515625" customWidth="1"/>
    <col min="4" max="4" width="38.28515625" customWidth="1"/>
    <col min="5" max="5" width="55.5703125" customWidth="1"/>
    <col min="7" max="7" width="12" bestFit="1" customWidth="1"/>
    <col min="8" max="8" width="11.140625" bestFit="1" customWidth="1"/>
    <col min="9" max="9" width="15.5703125" bestFit="1" customWidth="1"/>
    <col min="10" max="10" width="14.7109375" bestFit="1" customWidth="1"/>
  </cols>
  <sheetData>
    <row r="1" spans="1:10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s="202" t="s">
        <v>40</v>
      </c>
      <c r="H1" s="202" t="s">
        <v>41</v>
      </c>
      <c r="I1" s="388" t="s">
        <v>42</v>
      </c>
      <c r="J1" s="388" t="s">
        <v>43</v>
      </c>
    </row>
    <row r="2" spans="1:10">
      <c r="A2">
        <v>505362</v>
      </c>
      <c r="B2">
        <v>209346</v>
      </c>
      <c r="C2" t="s">
        <v>8</v>
      </c>
      <c r="D2" t="s">
        <v>130</v>
      </c>
      <c r="E2" t="s">
        <v>167</v>
      </c>
      <c r="F2" t="s">
        <v>53</v>
      </c>
      <c r="G2" s="202">
        <v>44377</v>
      </c>
      <c r="H2" s="202">
        <v>44377</v>
      </c>
      <c r="I2" s="390">
        <v>50000</v>
      </c>
      <c r="J2" s="390">
        <v>16665</v>
      </c>
    </row>
    <row r="3" spans="1:10">
      <c r="A3">
        <v>509181</v>
      </c>
      <c r="B3">
        <v>209792</v>
      </c>
      <c r="C3" t="s">
        <v>8</v>
      </c>
      <c r="D3" t="s">
        <v>49</v>
      </c>
      <c r="E3" t="s">
        <v>50</v>
      </c>
      <c r="F3" t="s">
        <v>46</v>
      </c>
      <c r="G3" s="202">
        <v>43952</v>
      </c>
      <c r="H3" s="202">
        <v>44805</v>
      </c>
      <c r="I3" s="390">
        <v>170613</v>
      </c>
      <c r="J3" s="390">
        <v>56865.31</v>
      </c>
    </row>
    <row r="4" spans="1:10">
      <c r="A4">
        <v>511777</v>
      </c>
      <c r="B4">
        <v>213181</v>
      </c>
      <c r="C4" t="s">
        <v>8</v>
      </c>
      <c r="D4" t="s">
        <v>51</v>
      </c>
      <c r="E4" t="s">
        <v>52</v>
      </c>
      <c r="F4" t="s">
        <v>53</v>
      </c>
      <c r="G4" s="202">
        <v>44197</v>
      </c>
      <c r="H4" s="202">
        <v>44805</v>
      </c>
      <c r="I4" s="390">
        <v>175000</v>
      </c>
      <c r="J4" s="390">
        <v>58327.5</v>
      </c>
    </row>
    <row r="5" spans="1:10">
      <c r="A5">
        <v>511941</v>
      </c>
      <c r="B5">
        <v>213182</v>
      </c>
      <c r="C5" t="s">
        <v>8</v>
      </c>
      <c r="D5" t="s">
        <v>57</v>
      </c>
      <c r="E5" t="s">
        <v>168</v>
      </c>
      <c r="F5" t="s">
        <v>53</v>
      </c>
      <c r="G5" s="202">
        <v>44197</v>
      </c>
      <c r="H5" s="202">
        <v>44805</v>
      </c>
      <c r="I5" s="390">
        <v>175000</v>
      </c>
      <c r="J5" s="390">
        <v>58327.5</v>
      </c>
    </row>
    <row r="6" spans="1:10">
      <c r="A6">
        <v>512148</v>
      </c>
      <c r="B6">
        <v>213202</v>
      </c>
      <c r="C6" t="s">
        <v>8</v>
      </c>
      <c r="D6" t="s">
        <v>73</v>
      </c>
      <c r="E6" t="s">
        <v>74</v>
      </c>
      <c r="F6" t="s">
        <v>75</v>
      </c>
      <c r="G6" s="202">
        <v>44287</v>
      </c>
      <c r="H6" s="202">
        <v>44805</v>
      </c>
      <c r="I6" s="388">
        <v>107407</v>
      </c>
      <c r="J6" s="388">
        <v>35798.75</v>
      </c>
    </row>
    <row r="7" spans="1:10">
      <c r="A7">
        <v>512148</v>
      </c>
      <c r="B7">
        <v>213202</v>
      </c>
      <c r="C7" t="s">
        <v>8</v>
      </c>
      <c r="D7" t="s">
        <v>73</v>
      </c>
      <c r="E7" t="s">
        <v>74</v>
      </c>
      <c r="F7" t="s">
        <v>75</v>
      </c>
      <c r="G7" s="202">
        <v>44287</v>
      </c>
      <c r="H7" s="202">
        <v>44805</v>
      </c>
      <c r="I7" s="388">
        <v>-30636</v>
      </c>
      <c r="J7" s="388">
        <v>-10210.98</v>
      </c>
    </row>
    <row r="8" spans="1:10">
      <c r="A8">
        <v>513586</v>
      </c>
      <c r="B8">
        <v>214504</v>
      </c>
      <c r="C8" t="s">
        <v>8</v>
      </c>
      <c r="D8" t="s">
        <v>169</v>
      </c>
      <c r="E8" t="s">
        <v>170</v>
      </c>
      <c r="F8" t="s">
        <v>46</v>
      </c>
      <c r="G8" s="202">
        <v>44501</v>
      </c>
      <c r="H8" s="202">
        <v>45168</v>
      </c>
      <c r="I8" s="388">
        <v>1000000</v>
      </c>
      <c r="J8" s="388">
        <v>333300</v>
      </c>
    </row>
    <row r="9" spans="1:10">
      <c r="A9">
        <v>513711</v>
      </c>
      <c r="B9">
        <v>213422</v>
      </c>
      <c r="C9" t="s">
        <v>8</v>
      </c>
      <c r="D9" t="s">
        <v>171</v>
      </c>
      <c r="E9" t="s">
        <v>172</v>
      </c>
      <c r="F9" t="s">
        <v>46</v>
      </c>
      <c r="G9" s="202">
        <v>44409</v>
      </c>
      <c r="H9" s="202">
        <v>45168</v>
      </c>
      <c r="I9" s="388">
        <v>150000</v>
      </c>
      <c r="J9" s="388">
        <v>49995</v>
      </c>
    </row>
    <row r="10" spans="1:10">
      <c r="A10">
        <v>512445</v>
      </c>
      <c r="B10">
        <v>213041</v>
      </c>
      <c r="C10" t="s">
        <v>54</v>
      </c>
      <c r="D10" t="s">
        <v>103</v>
      </c>
      <c r="E10" t="s">
        <v>104</v>
      </c>
      <c r="F10" t="s">
        <v>53</v>
      </c>
      <c r="G10" s="202">
        <v>44317</v>
      </c>
      <c r="H10" s="202">
        <v>44681</v>
      </c>
      <c r="I10" s="388">
        <v>153810</v>
      </c>
      <c r="J10" s="388">
        <v>51264.87</v>
      </c>
    </row>
    <row r="11" spans="1:10">
      <c r="A11">
        <v>512737</v>
      </c>
      <c r="B11">
        <v>206247</v>
      </c>
      <c r="C11" t="s">
        <v>54</v>
      </c>
      <c r="D11" t="s">
        <v>173</v>
      </c>
      <c r="E11" t="s">
        <v>174</v>
      </c>
      <c r="F11" t="s">
        <v>46</v>
      </c>
      <c r="G11" s="202">
        <v>44409</v>
      </c>
      <c r="H11" s="202">
        <v>44773</v>
      </c>
      <c r="I11" s="388">
        <v>25000</v>
      </c>
      <c r="J11" s="388">
        <v>8332.5</v>
      </c>
    </row>
    <row r="12" spans="1:10">
      <c r="A12">
        <v>513707</v>
      </c>
      <c r="B12">
        <v>205703</v>
      </c>
      <c r="C12" t="s">
        <v>54</v>
      </c>
      <c r="D12" t="s">
        <v>175</v>
      </c>
      <c r="E12" t="s">
        <v>176</v>
      </c>
      <c r="F12" t="s">
        <v>46</v>
      </c>
      <c r="G12" s="202">
        <v>44562</v>
      </c>
      <c r="H12" s="202">
        <v>44926</v>
      </c>
      <c r="I12" s="388">
        <v>50000</v>
      </c>
      <c r="J12" s="388">
        <v>16665</v>
      </c>
    </row>
    <row r="13" spans="1:10">
      <c r="A13">
        <v>513709</v>
      </c>
      <c r="B13">
        <v>207015</v>
      </c>
      <c r="C13" t="s">
        <v>54</v>
      </c>
      <c r="D13" t="s">
        <v>177</v>
      </c>
      <c r="E13" t="s">
        <v>178</v>
      </c>
      <c r="F13" t="s">
        <v>46</v>
      </c>
      <c r="G13" s="202">
        <v>44562</v>
      </c>
      <c r="H13" s="202">
        <v>44926</v>
      </c>
      <c r="I13" s="388">
        <v>50000</v>
      </c>
      <c r="J13" s="388">
        <v>16665</v>
      </c>
    </row>
    <row r="14" spans="1:10">
      <c r="A14">
        <v>511440</v>
      </c>
      <c r="B14">
        <v>209400</v>
      </c>
      <c r="C14" t="s">
        <v>166</v>
      </c>
      <c r="D14" t="s">
        <v>60</v>
      </c>
      <c r="E14" t="s">
        <v>179</v>
      </c>
      <c r="F14" t="s">
        <v>46</v>
      </c>
      <c r="G14" s="202">
        <v>44075</v>
      </c>
      <c r="H14" s="202">
        <v>44804</v>
      </c>
      <c r="I14" s="390">
        <v>12500</v>
      </c>
      <c r="J14" s="390">
        <v>4166.25</v>
      </c>
    </row>
    <row r="15" spans="1:10">
      <c r="A15">
        <v>511440</v>
      </c>
      <c r="B15">
        <v>208728</v>
      </c>
      <c r="C15" t="s">
        <v>166</v>
      </c>
      <c r="D15" t="s">
        <v>71</v>
      </c>
      <c r="E15" t="s">
        <v>180</v>
      </c>
      <c r="F15" t="s">
        <v>53</v>
      </c>
      <c r="G15" s="202">
        <v>44075</v>
      </c>
      <c r="H15" s="202">
        <v>44804</v>
      </c>
      <c r="I15" s="390">
        <v>12500</v>
      </c>
      <c r="J15" s="390">
        <v>4166.25</v>
      </c>
    </row>
    <row r="16" spans="1:10">
      <c r="A16">
        <v>512724</v>
      </c>
      <c r="B16">
        <v>203820</v>
      </c>
      <c r="C16" t="s">
        <v>98</v>
      </c>
      <c r="D16" t="s">
        <v>106</v>
      </c>
      <c r="E16" t="s">
        <v>107</v>
      </c>
      <c r="F16" t="s">
        <v>46</v>
      </c>
      <c r="G16" s="202">
        <v>44409</v>
      </c>
      <c r="H16" s="202">
        <v>44773</v>
      </c>
      <c r="I16" s="388">
        <v>93000</v>
      </c>
      <c r="J16" s="388">
        <v>30996.9</v>
      </c>
    </row>
    <row r="17" spans="1:10">
      <c r="A17">
        <v>512724</v>
      </c>
      <c r="B17">
        <v>208934</v>
      </c>
      <c r="C17" t="s">
        <v>98</v>
      </c>
      <c r="D17" t="s">
        <v>108</v>
      </c>
      <c r="E17" t="s">
        <v>109</v>
      </c>
      <c r="F17" t="s">
        <v>75</v>
      </c>
      <c r="G17" s="202">
        <v>44409</v>
      </c>
      <c r="H17" s="202">
        <v>44773</v>
      </c>
      <c r="I17" s="388">
        <v>67080</v>
      </c>
      <c r="J17" s="388">
        <v>22357.759999999998</v>
      </c>
    </row>
    <row r="18" spans="1:10">
      <c r="A18">
        <v>512729</v>
      </c>
      <c r="B18">
        <v>208728</v>
      </c>
      <c r="C18" t="s">
        <v>98</v>
      </c>
      <c r="D18" t="s">
        <v>181</v>
      </c>
      <c r="E18" t="s">
        <v>182</v>
      </c>
      <c r="F18" t="s">
        <v>53</v>
      </c>
      <c r="G18" s="202">
        <v>44409</v>
      </c>
      <c r="H18" s="202">
        <v>44773</v>
      </c>
      <c r="I18" s="388">
        <v>82500</v>
      </c>
      <c r="J18" s="388">
        <v>27497.25</v>
      </c>
    </row>
    <row r="19" spans="1:10">
      <c r="A19">
        <v>512729</v>
      </c>
      <c r="B19">
        <v>207636</v>
      </c>
      <c r="C19" t="s">
        <v>98</v>
      </c>
      <c r="D19" t="s">
        <v>183</v>
      </c>
      <c r="E19" t="s">
        <v>184</v>
      </c>
      <c r="F19" t="s">
        <v>46</v>
      </c>
      <c r="G19" s="202">
        <v>44409</v>
      </c>
      <c r="H19" s="202">
        <v>44773</v>
      </c>
      <c r="I19" s="388">
        <v>85000</v>
      </c>
      <c r="J19" s="388">
        <v>28330.5</v>
      </c>
    </row>
    <row r="20" spans="1:10">
      <c r="A20">
        <v>512729</v>
      </c>
      <c r="B20">
        <v>200739</v>
      </c>
      <c r="C20" t="s">
        <v>98</v>
      </c>
      <c r="D20" t="s">
        <v>71</v>
      </c>
      <c r="E20" t="s">
        <v>185</v>
      </c>
      <c r="F20" t="s">
        <v>53</v>
      </c>
      <c r="G20" s="202">
        <v>44409</v>
      </c>
      <c r="H20" s="202">
        <v>44773</v>
      </c>
      <c r="I20" s="388">
        <v>82500</v>
      </c>
      <c r="J20" s="388">
        <v>27497.25</v>
      </c>
    </row>
    <row r="21" spans="1:10">
      <c r="A21">
        <v>512731</v>
      </c>
      <c r="B21">
        <v>212636</v>
      </c>
      <c r="C21" t="s">
        <v>98</v>
      </c>
      <c r="D21" t="s">
        <v>110</v>
      </c>
      <c r="E21" t="s">
        <v>111</v>
      </c>
      <c r="F21" t="s">
        <v>53</v>
      </c>
      <c r="G21" s="202">
        <v>44409</v>
      </c>
      <c r="H21" s="202">
        <v>44773</v>
      </c>
      <c r="I21" s="388">
        <v>7500</v>
      </c>
      <c r="J21" s="388">
        <v>2499.75</v>
      </c>
    </row>
    <row r="22" spans="1:10">
      <c r="A22">
        <v>512731</v>
      </c>
      <c r="B22">
        <v>209184</v>
      </c>
      <c r="C22" t="s">
        <v>98</v>
      </c>
      <c r="D22" t="s">
        <v>112</v>
      </c>
      <c r="E22" t="s">
        <v>186</v>
      </c>
      <c r="F22" t="s">
        <v>53</v>
      </c>
      <c r="G22" s="202">
        <v>44409</v>
      </c>
      <c r="H22" s="202">
        <v>44773</v>
      </c>
      <c r="I22" s="388">
        <v>20000</v>
      </c>
      <c r="J22" s="388">
        <v>6666</v>
      </c>
    </row>
    <row r="23" spans="1:10">
      <c r="A23">
        <v>512731</v>
      </c>
      <c r="B23">
        <v>212893</v>
      </c>
      <c r="C23" t="s">
        <v>98</v>
      </c>
      <c r="D23" t="s">
        <v>187</v>
      </c>
      <c r="E23" t="s">
        <v>188</v>
      </c>
      <c r="F23" t="s">
        <v>53</v>
      </c>
      <c r="G23" s="202">
        <v>44409</v>
      </c>
      <c r="H23" s="202">
        <v>44773</v>
      </c>
      <c r="I23" s="388">
        <v>10000</v>
      </c>
      <c r="J23" s="388">
        <v>3333</v>
      </c>
    </row>
    <row r="24" spans="1:10">
      <c r="A24">
        <v>512731</v>
      </c>
      <c r="B24">
        <v>209766</v>
      </c>
      <c r="C24" t="s">
        <v>98</v>
      </c>
      <c r="D24" t="s">
        <v>64</v>
      </c>
      <c r="E24" t="s">
        <v>114</v>
      </c>
      <c r="F24" t="s">
        <v>53</v>
      </c>
      <c r="G24" s="202">
        <v>44409</v>
      </c>
      <c r="H24" s="202">
        <v>44773</v>
      </c>
      <c r="I24" s="388">
        <v>125000</v>
      </c>
      <c r="J24" s="388">
        <v>41662.5</v>
      </c>
    </row>
    <row r="25" spans="1:10">
      <c r="A25">
        <v>512736</v>
      </c>
      <c r="B25">
        <v>203628</v>
      </c>
      <c r="C25" t="s">
        <v>98</v>
      </c>
      <c r="D25" t="s">
        <v>189</v>
      </c>
      <c r="E25" t="s">
        <v>190</v>
      </c>
      <c r="F25" t="s">
        <v>53</v>
      </c>
      <c r="G25" s="202">
        <v>44409</v>
      </c>
      <c r="H25" s="202">
        <v>44773</v>
      </c>
      <c r="I25" s="388">
        <v>170230</v>
      </c>
      <c r="J25" s="388">
        <v>56737.66</v>
      </c>
    </row>
    <row r="26" spans="1:10">
      <c r="A26">
        <v>512736</v>
      </c>
      <c r="B26">
        <v>203442</v>
      </c>
      <c r="C26" t="s">
        <v>98</v>
      </c>
      <c r="D26" t="s">
        <v>191</v>
      </c>
      <c r="E26" t="s">
        <v>192</v>
      </c>
      <c r="F26" t="s">
        <v>53</v>
      </c>
      <c r="G26" s="202">
        <v>44409</v>
      </c>
      <c r="H26" s="202">
        <v>44773</v>
      </c>
      <c r="I26" s="388">
        <v>72970</v>
      </c>
      <c r="J26" s="388">
        <v>24320.9</v>
      </c>
    </row>
    <row r="27" spans="1:10">
      <c r="A27">
        <v>513373</v>
      </c>
      <c r="B27">
        <v>201921</v>
      </c>
      <c r="C27" t="s">
        <v>98</v>
      </c>
      <c r="D27" t="s">
        <v>115</v>
      </c>
      <c r="E27" t="s">
        <v>193</v>
      </c>
      <c r="F27" t="s">
        <v>46</v>
      </c>
      <c r="G27" s="202">
        <v>44562</v>
      </c>
      <c r="H27" s="202">
        <v>45138</v>
      </c>
      <c r="I27" s="388">
        <v>138000</v>
      </c>
      <c r="J27" s="388">
        <v>45995.4</v>
      </c>
    </row>
    <row r="28" spans="1:10">
      <c r="A28">
        <v>513373</v>
      </c>
      <c r="B28">
        <v>208810</v>
      </c>
      <c r="C28" t="s">
        <v>98</v>
      </c>
      <c r="D28" t="s">
        <v>194</v>
      </c>
      <c r="E28" t="s">
        <v>195</v>
      </c>
      <c r="F28" t="s">
        <v>53</v>
      </c>
      <c r="G28" s="202">
        <v>44562</v>
      </c>
      <c r="H28" s="202">
        <v>45138</v>
      </c>
      <c r="I28" s="388">
        <v>50000</v>
      </c>
      <c r="J28" s="388">
        <v>16665</v>
      </c>
    </row>
    <row r="29" spans="1:10">
      <c r="A29">
        <v>513374</v>
      </c>
      <c r="B29">
        <v>206147</v>
      </c>
      <c r="C29" t="s">
        <v>98</v>
      </c>
      <c r="D29" t="s">
        <v>196</v>
      </c>
      <c r="E29" t="s">
        <v>197</v>
      </c>
      <c r="F29" t="s">
        <v>46</v>
      </c>
      <c r="G29" s="202">
        <v>44562</v>
      </c>
      <c r="H29" s="202">
        <v>45138</v>
      </c>
      <c r="I29" s="388">
        <v>50050</v>
      </c>
      <c r="J29" s="388">
        <v>16681.669999999998</v>
      </c>
    </row>
    <row r="30" spans="1:10">
      <c r="A30">
        <v>513374</v>
      </c>
      <c r="B30">
        <v>212065</v>
      </c>
      <c r="C30" t="s">
        <v>98</v>
      </c>
      <c r="D30" t="s">
        <v>88</v>
      </c>
      <c r="E30" t="s">
        <v>198</v>
      </c>
      <c r="F30" t="s">
        <v>46</v>
      </c>
      <c r="G30" s="202">
        <v>44562</v>
      </c>
      <c r="H30" s="202">
        <v>45138</v>
      </c>
      <c r="I30" s="388">
        <v>130050</v>
      </c>
      <c r="J30" s="388">
        <v>43345.67</v>
      </c>
    </row>
    <row r="31" spans="1:10">
      <c r="A31">
        <v>513374</v>
      </c>
      <c r="B31">
        <v>206205</v>
      </c>
      <c r="C31" t="s">
        <v>98</v>
      </c>
      <c r="D31" t="s">
        <v>199</v>
      </c>
      <c r="E31" t="s">
        <v>200</v>
      </c>
      <c r="F31" t="s">
        <v>46</v>
      </c>
      <c r="G31" s="202">
        <v>44562</v>
      </c>
      <c r="H31" s="202">
        <v>45138</v>
      </c>
      <c r="I31" s="388">
        <v>25000</v>
      </c>
      <c r="J31" s="388">
        <v>8332.5</v>
      </c>
    </row>
    <row r="32" spans="1:10">
      <c r="A32">
        <v>506450</v>
      </c>
      <c r="B32">
        <v>208620</v>
      </c>
      <c r="C32" t="s">
        <v>164</v>
      </c>
      <c r="D32" t="s">
        <v>201</v>
      </c>
      <c r="E32" t="s">
        <v>202</v>
      </c>
      <c r="F32" t="s">
        <v>82</v>
      </c>
      <c r="G32" s="202">
        <v>43556</v>
      </c>
      <c r="H32" s="202">
        <v>44651</v>
      </c>
      <c r="I32" s="390">
        <v>50000</v>
      </c>
      <c r="J32" s="390">
        <v>16665</v>
      </c>
    </row>
    <row r="33" spans="1:10">
      <c r="A33">
        <v>506451</v>
      </c>
      <c r="B33">
        <v>207233</v>
      </c>
      <c r="C33" t="s">
        <v>164</v>
      </c>
      <c r="D33" t="s">
        <v>203</v>
      </c>
      <c r="E33" t="s">
        <v>204</v>
      </c>
      <c r="F33" t="s">
        <v>46</v>
      </c>
      <c r="G33" s="202">
        <v>43556</v>
      </c>
      <c r="H33" s="202">
        <v>44651</v>
      </c>
      <c r="I33" s="390">
        <v>50000</v>
      </c>
      <c r="J33" s="390">
        <v>16665</v>
      </c>
    </row>
    <row r="34" spans="1:10">
      <c r="A34">
        <v>509284</v>
      </c>
      <c r="B34">
        <v>206595</v>
      </c>
      <c r="C34" t="s">
        <v>164</v>
      </c>
      <c r="D34" t="s">
        <v>76</v>
      </c>
      <c r="E34" t="s">
        <v>205</v>
      </c>
      <c r="F34" t="s">
        <v>46</v>
      </c>
      <c r="G34" s="202">
        <v>44013</v>
      </c>
      <c r="H34" s="202">
        <v>44742</v>
      </c>
      <c r="I34" s="390">
        <v>75000</v>
      </c>
      <c r="J34" s="390">
        <v>24997.5</v>
      </c>
    </row>
    <row r="35" spans="1:10">
      <c r="A35">
        <v>509285</v>
      </c>
      <c r="B35">
        <v>209801</v>
      </c>
      <c r="C35" t="s">
        <v>164</v>
      </c>
      <c r="D35" t="s">
        <v>206</v>
      </c>
      <c r="E35" t="s">
        <v>207</v>
      </c>
      <c r="F35" t="s">
        <v>68</v>
      </c>
      <c r="G35" s="202">
        <v>44013</v>
      </c>
      <c r="H35" s="202">
        <v>44742</v>
      </c>
      <c r="I35" s="390">
        <v>75000</v>
      </c>
      <c r="J35" s="390">
        <v>24997.5</v>
      </c>
    </row>
    <row r="36" spans="1:10">
      <c r="A36">
        <v>509589</v>
      </c>
      <c r="B36">
        <v>212183</v>
      </c>
      <c r="C36" t="s">
        <v>164</v>
      </c>
      <c r="D36" t="s">
        <v>94</v>
      </c>
      <c r="E36" t="s">
        <v>208</v>
      </c>
      <c r="F36" t="s">
        <v>68</v>
      </c>
      <c r="G36" s="202">
        <v>44075</v>
      </c>
      <c r="H36" s="202">
        <v>44804</v>
      </c>
      <c r="I36" s="390">
        <v>75000</v>
      </c>
      <c r="J36" s="390">
        <v>24997.5</v>
      </c>
    </row>
    <row r="37" spans="1:10">
      <c r="A37">
        <v>512034</v>
      </c>
      <c r="B37">
        <v>210637</v>
      </c>
      <c r="C37" t="s">
        <v>164</v>
      </c>
      <c r="D37" t="s">
        <v>209</v>
      </c>
      <c r="E37" t="s">
        <v>210</v>
      </c>
      <c r="F37" t="s">
        <v>82</v>
      </c>
      <c r="G37" s="202">
        <v>44298</v>
      </c>
      <c r="H37" s="202">
        <v>44742</v>
      </c>
      <c r="I37" s="388">
        <v>23333.33</v>
      </c>
      <c r="J37" s="388">
        <v>7777</v>
      </c>
    </row>
    <row r="38" spans="1:10">
      <c r="A38">
        <v>512034</v>
      </c>
      <c r="B38">
        <v>210637</v>
      </c>
      <c r="C38" t="s">
        <v>164</v>
      </c>
      <c r="D38" t="s">
        <v>209</v>
      </c>
      <c r="E38" t="s">
        <v>210</v>
      </c>
      <c r="F38" t="s">
        <v>82</v>
      </c>
      <c r="G38" s="202">
        <v>44298</v>
      </c>
      <c r="H38" s="202">
        <v>44742</v>
      </c>
      <c r="I38" s="388">
        <v>-13308.5</v>
      </c>
      <c r="J38" s="388">
        <v>-4435.72</v>
      </c>
    </row>
    <row r="39" spans="1:10">
      <c r="A39">
        <v>512034</v>
      </c>
      <c r="B39">
        <v>210637</v>
      </c>
      <c r="C39" t="s">
        <v>164</v>
      </c>
      <c r="D39" t="s">
        <v>209</v>
      </c>
      <c r="E39" t="s">
        <v>210</v>
      </c>
      <c r="F39" t="s">
        <v>82</v>
      </c>
      <c r="G39" s="202">
        <v>44298</v>
      </c>
      <c r="H39" s="202">
        <v>44742</v>
      </c>
      <c r="I39" s="388">
        <v>75000</v>
      </c>
      <c r="J39" s="388">
        <v>24997.5</v>
      </c>
    </row>
    <row r="40" spans="1:10">
      <c r="A40">
        <v>499942</v>
      </c>
      <c r="B40">
        <v>107525</v>
      </c>
      <c r="C40" t="s">
        <v>6</v>
      </c>
      <c r="D40" t="s">
        <v>211</v>
      </c>
      <c r="E40" t="s">
        <v>212</v>
      </c>
      <c r="F40" t="s">
        <v>46</v>
      </c>
      <c r="G40" s="202">
        <v>42248</v>
      </c>
      <c r="H40" s="202">
        <v>44651</v>
      </c>
      <c r="I40" s="390">
        <v>60000</v>
      </c>
      <c r="J40" s="390">
        <v>19998</v>
      </c>
    </row>
    <row r="41" spans="1:10">
      <c r="A41">
        <v>499942</v>
      </c>
      <c r="B41">
        <v>107525</v>
      </c>
      <c r="C41" t="s">
        <v>6</v>
      </c>
      <c r="D41" t="s">
        <v>211</v>
      </c>
      <c r="E41" t="s">
        <v>212</v>
      </c>
      <c r="F41" t="s">
        <v>46</v>
      </c>
      <c r="G41" s="202">
        <v>42248</v>
      </c>
      <c r="H41" s="202">
        <v>45169</v>
      </c>
      <c r="I41" s="390">
        <v>550000</v>
      </c>
      <c r="J41" s="390">
        <v>183315</v>
      </c>
    </row>
    <row r="42" spans="1:10">
      <c r="A42">
        <v>500737</v>
      </c>
      <c r="B42">
        <v>107525</v>
      </c>
      <c r="C42" t="s">
        <v>6</v>
      </c>
      <c r="D42" t="s">
        <v>211</v>
      </c>
      <c r="E42" t="s">
        <v>212</v>
      </c>
      <c r="F42" t="s">
        <v>46</v>
      </c>
      <c r="G42" s="202">
        <v>42248</v>
      </c>
      <c r="H42" s="202">
        <v>44651</v>
      </c>
      <c r="I42" s="390">
        <v>60000</v>
      </c>
      <c r="J42" s="390">
        <v>19998</v>
      </c>
    </row>
    <row r="43" spans="1:10">
      <c r="A43">
        <v>500737</v>
      </c>
      <c r="B43">
        <v>107525</v>
      </c>
      <c r="C43" t="s">
        <v>6</v>
      </c>
      <c r="D43" t="s">
        <v>211</v>
      </c>
      <c r="E43" t="s">
        <v>212</v>
      </c>
      <c r="F43" t="s">
        <v>46</v>
      </c>
      <c r="G43" s="202">
        <v>42248</v>
      </c>
      <c r="H43" s="202">
        <v>45169</v>
      </c>
      <c r="I43" s="390">
        <v>235000</v>
      </c>
      <c r="J43" s="390">
        <v>78325.5</v>
      </c>
    </row>
    <row r="44" spans="1:10">
      <c r="A44">
        <v>500737</v>
      </c>
      <c r="B44">
        <v>107525</v>
      </c>
      <c r="C44" t="s">
        <v>6</v>
      </c>
      <c r="D44" t="s">
        <v>211</v>
      </c>
      <c r="E44" t="s">
        <v>45</v>
      </c>
      <c r="F44" t="s">
        <v>46</v>
      </c>
      <c r="G44" s="202">
        <v>42248</v>
      </c>
      <c r="H44" s="202">
        <v>45169</v>
      </c>
      <c r="I44" s="390">
        <v>-148302</v>
      </c>
      <c r="J44" s="390">
        <v>-49425.06</v>
      </c>
    </row>
    <row r="45" spans="1:10">
      <c r="A45">
        <v>507782</v>
      </c>
      <c r="B45">
        <v>202616</v>
      </c>
      <c r="C45" t="s">
        <v>6</v>
      </c>
      <c r="D45" t="s">
        <v>124</v>
      </c>
      <c r="E45" t="s">
        <v>48</v>
      </c>
      <c r="F45" t="s">
        <v>46</v>
      </c>
      <c r="G45" s="202">
        <v>43709</v>
      </c>
      <c r="H45" s="202">
        <v>45170</v>
      </c>
      <c r="I45" s="390">
        <v>300000</v>
      </c>
      <c r="J45" s="390">
        <v>99990</v>
      </c>
    </row>
    <row r="46" spans="1:10">
      <c r="A46">
        <v>504337</v>
      </c>
      <c r="B46">
        <v>205592</v>
      </c>
      <c r="C46" t="s">
        <v>163</v>
      </c>
      <c r="D46" t="s">
        <v>213</v>
      </c>
      <c r="E46" t="s">
        <v>214</v>
      </c>
      <c r="F46" t="s">
        <v>46</v>
      </c>
      <c r="G46" s="202">
        <v>43191</v>
      </c>
      <c r="H46" s="202">
        <v>44398</v>
      </c>
      <c r="I46" s="390">
        <v>-154.09</v>
      </c>
      <c r="J46" s="390">
        <v>-51.36</v>
      </c>
    </row>
    <row r="47" spans="1:10">
      <c r="A47">
        <v>509653</v>
      </c>
      <c r="B47">
        <v>207233</v>
      </c>
      <c r="C47" t="s">
        <v>163</v>
      </c>
      <c r="D47" t="s">
        <v>203</v>
      </c>
      <c r="E47" t="s">
        <v>215</v>
      </c>
      <c r="F47" t="s">
        <v>46</v>
      </c>
      <c r="G47" s="202">
        <v>44044</v>
      </c>
      <c r="H47" s="202">
        <v>44773</v>
      </c>
      <c r="I47" s="390">
        <v>10000</v>
      </c>
      <c r="J47" s="390">
        <v>3333</v>
      </c>
    </row>
    <row r="48" spans="1:10">
      <c r="A48">
        <v>509653</v>
      </c>
      <c r="B48">
        <v>209194</v>
      </c>
      <c r="C48" t="s">
        <v>163</v>
      </c>
      <c r="D48" t="s">
        <v>216</v>
      </c>
      <c r="E48" t="s">
        <v>217</v>
      </c>
      <c r="F48" t="s">
        <v>46</v>
      </c>
      <c r="G48" s="202">
        <v>44044</v>
      </c>
      <c r="H48" s="202">
        <v>44773</v>
      </c>
      <c r="I48" s="390">
        <v>90000</v>
      </c>
      <c r="J48" s="390">
        <v>29997</v>
      </c>
    </row>
    <row r="49" spans="1:10">
      <c r="A49">
        <v>509666</v>
      </c>
      <c r="B49">
        <v>209438</v>
      </c>
      <c r="C49" t="s">
        <v>163</v>
      </c>
      <c r="D49" t="s">
        <v>86</v>
      </c>
      <c r="E49" t="s">
        <v>218</v>
      </c>
      <c r="F49" t="s">
        <v>46</v>
      </c>
      <c r="G49" s="202">
        <v>44044</v>
      </c>
      <c r="H49" s="202">
        <v>44773</v>
      </c>
      <c r="I49" s="390">
        <v>46000</v>
      </c>
      <c r="J49" s="390">
        <v>15331.8</v>
      </c>
    </row>
    <row r="50" spans="1:10">
      <c r="A50">
        <v>509666</v>
      </c>
      <c r="B50">
        <v>208489</v>
      </c>
      <c r="C50" t="s">
        <v>163</v>
      </c>
      <c r="D50" t="s">
        <v>126</v>
      </c>
      <c r="E50" t="s">
        <v>219</v>
      </c>
      <c r="F50" t="s">
        <v>68</v>
      </c>
      <c r="G50" s="202">
        <v>44044</v>
      </c>
      <c r="H50" s="202">
        <v>44773</v>
      </c>
      <c r="I50" s="390">
        <v>15000</v>
      </c>
      <c r="J50" s="390">
        <v>4999.5</v>
      </c>
    </row>
    <row r="51" spans="1:10">
      <c r="A51">
        <v>509666</v>
      </c>
      <c r="B51">
        <v>208489</v>
      </c>
      <c r="C51" t="s">
        <v>163</v>
      </c>
      <c r="D51" t="s">
        <v>126</v>
      </c>
      <c r="E51" t="s">
        <v>219</v>
      </c>
      <c r="F51" t="s">
        <v>68</v>
      </c>
      <c r="G51" s="202">
        <v>44044</v>
      </c>
      <c r="H51" s="202">
        <v>44773</v>
      </c>
      <c r="I51" s="390">
        <v>24000</v>
      </c>
      <c r="J51" s="390">
        <v>7999.2</v>
      </c>
    </row>
    <row r="52" spans="1:10">
      <c r="A52">
        <v>509666</v>
      </c>
      <c r="B52">
        <v>208810</v>
      </c>
      <c r="C52" t="s">
        <v>163</v>
      </c>
      <c r="D52" t="s">
        <v>194</v>
      </c>
      <c r="E52" t="s">
        <v>220</v>
      </c>
      <c r="F52" t="s">
        <v>53</v>
      </c>
      <c r="G52" s="202">
        <v>44044</v>
      </c>
      <c r="H52" s="202">
        <v>44773</v>
      </c>
      <c r="I52" s="390">
        <v>39000</v>
      </c>
      <c r="J52" s="390">
        <v>12998.7</v>
      </c>
    </row>
    <row r="53" spans="1:10">
      <c r="A53">
        <v>509666</v>
      </c>
      <c r="B53">
        <v>208810</v>
      </c>
      <c r="C53" t="s">
        <v>163</v>
      </c>
      <c r="D53" t="s">
        <v>194</v>
      </c>
      <c r="E53" t="s">
        <v>220</v>
      </c>
      <c r="F53" t="s">
        <v>53</v>
      </c>
      <c r="G53" s="202">
        <v>44044</v>
      </c>
      <c r="H53" s="202">
        <v>44773</v>
      </c>
      <c r="I53" s="390">
        <v>-24000</v>
      </c>
      <c r="J53" s="390">
        <v>-7999.2</v>
      </c>
    </row>
    <row r="54" spans="1:10">
      <c r="A54">
        <v>509667</v>
      </c>
      <c r="B54">
        <v>209936</v>
      </c>
      <c r="C54" t="s">
        <v>163</v>
      </c>
      <c r="D54" t="s">
        <v>221</v>
      </c>
      <c r="E54" t="s">
        <v>222</v>
      </c>
      <c r="F54" t="s">
        <v>68</v>
      </c>
      <c r="G54" s="202">
        <v>44044</v>
      </c>
      <c r="H54" s="202">
        <v>44773</v>
      </c>
      <c r="I54" s="390">
        <v>99999</v>
      </c>
      <c r="J54" s="390">
        <v>33329.67</v>
      </c>
    </row>
    <row r="55" spans="1:10">
      <c r="A55">
        <v>512029</v>
      </c>
      <c r="B55">
        <v>209400</v>
      </c>
      <c r="C55" t="s">
        <v>59</v>
      </c>
      <c r="D55" t="s">
        <v>60</v>
      </c>
      <c r="E55" t="s">
        <v>61</v>
      </c>
      <c r="F55" t="s">
        <v>46</v>
      </c>
      <c r="G55" s="202">
        <v>44287</v>
      </c>
      <c r="H55" s="202">
        <v>44651</v>
      </c>
      <c r="I55" s="388">
        <v>164000</v>
      </c>
      <c r="J55" s="388">
        <v>54661.2</v>
      </c>
    </row>
    <row r="56" spans="1:10">
      <c r="A56">
        <v>512029</v>
      </c>
      <c r="B56">
        <v>208728</v>
      </c>
      <c r="C56" t="s">
        <v>59</v>
      </c>
      <c r="D56" t="s">
        <v>71</v>
      </c>
      <c r="E56" t="s">
        <v>72</v>
      </c>
      <c r="F56" t="s">
        <v>53</v>
      </c>
      <c r="G56" s="202">
        <v>44287</v>
      </c>
      <c r="H56" s="202">
        <v>44651</v>
      </c>
      <c r="I56" s="388">
        <v>55000</v>
      </c>
      <c r="J56" s="388">
        <v>18331.5</v>
      </c>
    </row>
    <row r="57" spans="1:10">
      <c r="A57">
        <v>512029</v>
      </c>
      <c r="B57">
        <v>209210</v>
      </c>
      <c r="C57" t="s">
        <v>59</v>
      </c>
      <c r="D57" t="s">
        <v>66</v>
      </c>
      <c r="E57" t="s">
        <v>223</v>
      </c>
      <c r="F57" t="s">
        <v>68</v>
      </c>
      <c r="G57" s="202">
        <v>44287</v>
      </c>
      <c r="H57" s="202">
        <v>44651</v>
      </c>
      <c r="I57" s="388">
        <v>40000</v>
      </c>
      <c r="J57" s="388">
        <v>13332</v>
      </c>
    </row>
    <row r="58" spans="1:10">
      <c r="A58">
        <v>512029</v>
      </c>
      <c r="B58">
        <v>208616</v>
      </c>
      <c r="C58" t="s">
        <v>59</v>
      </c>
      <c r="D58" t="s">
        <v>69</v>
      </c>
      <c r="E58" t="s">
        <v>70</v>
      </c>
      <c r="F58" t="s">
        <v>53</v>
      </c>
      <c r="G58" s="202">
        <v>44287</v>
      </c>
      <c r="H58" s="202">
        <v>44651</v>
      </c>
      <c r="I58" s="388">
        <v>55000</v>
      </c>
      <c r="J58" s="388">
        <v>18331.5</v>
      </c>
    </row>
    <row r="59" spans="1:10">
      <c r="A59">
        <v>512029</v>
      </c>
      <c r="B59">
        <v>209766</v>
      </c>
      <c r="C59" t="s">
        <v>59</v>
      </c>
      <c r="D59" t="s">
        <v>64</v>
      </c>
      <c r="E59" t="s">
        <v>65</v>
      </c>
      <c r="F59" t="s">
        <v>53</v>
      </c>
      <c r="G59" s="202">
        <v>44287</v>
      </c>
      <c r="H59" s="202">
        <v>44651</v>
      </c>
      <c r="I59" s="388">
        <v>55000</v>
      </c>
      <c r="J59" s="388">
        <v>18331.5</v>
      </c>
    </row>
    <row r="60" spans="1:10">
      <c r="A60">
        <v>512029</v>
      </c>
      <c r="B60">
        <v>209403</v>
      </c>
      <c r="C60" t="s">
        <v>59</v>
      </c>
      <c r="D60" t="s">
        <v>62</v>
      </c>
      <c r="E60" t="s">
        <v>63</v>
      </c>
      <c r="F60" t="s">
        <v>53</v>
      </c>
      <c r="G60" s="202">
        <v>44287</v>
      </c>
      <c r="H60" s="202">
        <v>44651</v>
      </c>
      <c r="I60" s="388">
        <v>125000</v>
      </c>
      <c r="J60" s="388">
        <v>41662.5</v>
      </c>
    </row>
    <row r="61" spans="1:10">
      <c r="A61">
        <v>512329</v>
      </c>
      <c r="B61">
        <v>209400</v>
      </c>
      <c r="C61" t="s">
        <v>59</v>
      </c>
      <c r="D61" t="s">
        <v>60</v>
      </c>
      <c r="E61" t="s">
        <v>224</v>
      </c>
      <c r="F61" t="s">
        <v>46</v>
      </c>
      <c r="G61" s="202">
        <v>44287</v>
      </c>
      <c r="H61" s="202">
        <v>44651</v>
      </c>
      <c r="I61" s="388">
        <v>45000</v>
      </c>
      <c r="J61" s="388">
        <v>14998.5</v>
      </c>
    </row>
    <row r="62" spans="1:10">
      <c r="A62">
        <v>512329</v>
      </c>
      <c r="B62">
        <v>213207</v>
      </c>
      <c r="C62" t="s">
        <v>59</v>
      </c>
      <c r="D62" t="s">
        <v>80</v>
      </c>
      <c r="E62" t="s">
        <v>225</v>
      </c>
      <c r="F62" t="s">
        <v>82</v>
      </c>
      <c r="G62" s="202">
        <v>44287</v>
      </c>
      <c r="H62" s="202">
        <v>44651</v>
      </c>
      <c r="I62" s="388">
        <v>130000</v>
      </c>
      <c r="J62" s="388">
        <v>43329</v>
      </c>
    </row>
    <row r="63" spans="1:10">
      <c r="A63">
        <v>512329</v>
      </c>
      <c r="B63">
        <v>206595</v>
      </c>
      <c r="C63" t="s">
        <v>59</v>
      </c>
      <c r="D63" t="s">
        <v>76</v>
      </c>
      <c r="E63" t="s">
        <v>226</v>
      </c>
      <c r="F63" t="s">
        <v>46</v>
      </c>
      <c r="G63" s="202">
        <v>44287</v>
      </c>
      <c r="H63" s="202">
        <v>44651</v>
      </c>
      <c r="I63" s="388">
        <v>60500</v>
      </c>
      <c r="J63" s="388">
        <v>20164.650000000001</v>
      </c>
    </row>
    <row r="64" spans="1:10">
      <c r="A64">
        <v>512329</v>
      </c>
      <c r="B64">
        <v>201659</v>
      </c>
      <c r="C64" t="s">
        <v>59</v>
      </c>
      <c r="D64" t="s">
        <v>78</v>
      </c>
      <c r="E64" t="s">
        <v>227</v>
      </c>
      <c r="F64" t="s">
        <v>46</v>
      </c>
      <c r="G64" s="202">
        <v>44287</v>
      </c>
      <c r="H64" s="202">
        <v>44651</v>
      </c>
      <c r="I64" s="388">
        <v>55000</v>
      </c>
      <c r="J64" s="388">
        <v>18331.5</v>
      </c>
    </row>
    <row r="65" spans="1:10">
      <c r="A65">
        <v>512338</v>
      </c>
      <c r="B65">
        <v>209438</v>
      </c>
      <c r="C65" t="s">
        <v>59</v>
      </c>
      <c r="D65" t="s">
        <v>86</v>
      </c>
      <c r="E65" t="s">
        <v>228</v>
      </c>
      <c r="F65" t="s">
        <v>46</v>
      </c>
      <c r="G65" s="202">
        <v>44287</v>
      </c>
      <c r="H65" s="202">
        <v>44651</v>
      </c>
      <c r="I65" s="388">
        <v>67000</v>
      </c>
      <c r="J65" s="388">
        <v>22331.1</v>
      </c>
    </row>
    <row r="66" spans="1:10">
      <c r="A66">
        <v>512338</v>
      </c>
      <c r="B66">
        <v>212065</v>
      </c>
      <c r="C66" t="s">
        <v>59</v>
      </c>
      <c r="D66" t="s">
        <v>88</v>
      </c>
      <c r="E66" t="s">
        <v>229</v>
      </c>
      <c r="F66" t="s">
        <v>46</v>
      </c>
      <c r="G66" s="202">
        <v>44287</v>
      </c>
      <c r="H66" s="202">
        <v>44651</v>
      </c>
      <c r="I66" s="388">
        <v>103650</v>
      </c>
      <c r="J66" s="388">
        <v>34546.550000000003</v>
      </c>
    </row>
    <row r="67" spans="1:10">
      <c r="A67">
        <v>512338</v>
      </c>
      <c r="B67">
        <v>208379</v>
      </c>
      <c r="C67" t="s">
        <v>59</v>
      </c>
      <c r="D67" t="s">
        <v>92</v>
      </c>
      <c r="E67" t="s">
        <v>230</v>
      </c>
      <c r="F67" t="s">
        <v>46</v>
      </c>
      <c r="G67" s="202">
        <v>44287</v>
      </c>
      <c r="H67" s="202">
        <v>44651</v>
      </c>
      <c r="I67" s="388">
        <v>215500</v>
      </c>
      <c r="J67" s="388">
        <v>71826.149999999994</v>
      </c>
    </row>
    <row r="68" spans="1:10">
      <c r="A68">
        <v>512373</v>
      </c>
      <c r="B68">
        <v>207444</v>
      </c>
      <c r="C68" t="s">
        <v>59</v>
      </c>
      <c r="D68" t="s">
        <v>99</v>
      </c>
      <c r="E68" t="s">
        <v>100</v>
      </c>
      <c r="F68" t="s">
        <v>46</v>
      </c>
      <c r="G68" s="202">
        <v>44287</v>
      </c>
      <c r="H68" s="202">
        <v>44651</v>
      </c>
      <c r="I68" s="388">
        <v>30000</v>
      </c>
      <c r="J68" s="388">
        <v>9999</v>
      </c>
    </row>
    <row r="69" spans="1:10">
      <c r="A69">
        <v>512373</v>
      </c>
      <c r="B69">
        <v>212183</v>
      </c>
      <c r="C69" t="s">
        <v>59</v>
      </c>
      <c r="D69" t="s">
        <v>94</v>
      </c>
      <c r="E69" t="s">
        <v>95</v>
      </c>
      <c r="F69" t="s">
        <v>68</v>
      </c>
      <c r="G69" s="202">
        <v>44287</v>
      </c>
      <c r="H69" s="202">
        <v>44651</v>
      </c>
      <c r="I69" s="388">
        <v>160000</v>
      </c>
      <c r="J69" s="388">
        <v>53328</v>
      </c>
    </row>
    <row r="70" spans="1:10">
      <c r="A70">
        <v>512373</v>
      </c>
      <c r="B70">
        <v>205547</v>
      </c>
      <c r="C70" t="s">
        <v>59</v>
      </c>
      <c r="D70" t="s">
        <v>96</v>
      </c>
      <c r="E70" t="s">
        <v>231</v>
      </c>
      <c r="F70" t="s">
        <v>46</v>
      </c>
      <c r="G70" s="202">
        <v>44287</v>
      </c>
      <c r="H70" s="202">
        <v>44651</v>
      </c>
      <c r="I70" s="388">
        <v>55000</v>
      </c>
      <c r="J70" s="388">
        <v>18331.5</v>
      </c>
    </row>
    <row r="71" spans="1:10">
      <c r="A71">
        <v>512373</v>
      </c>
      <c r="B71">
        <v>207963</v>
      </c>
      <c r="C71" t="s">
        <v>59</v>
      </c>
      <c r="D71" t="s">
        <v>101</v>
      </c>
      <c r="E71" t="s">
        <v>102</v>
      </c>
      <c r="F71" t="s">
        <v>46</v>
      </c>
      <c r="G71" s="202">
        <v>44287</v>
      </c>
      <c r="H71" s="202">
        <v>44651</v>
      </c>
      <c r="I71" s="388">
        <v>55000</v>
      </c>
      <c r="J71" s="388">
        <v>18331.5</v>
      </c>
    </row>
    <row r="72" spans="1:10">
      <c r="A72">
        <v>507637</v>
      </c>
      <c r="B72">
        <v>207636</v>
      </c>
      <c r="C72" t="s">
        <v>165</v>
      </c>
      <c r="D72" t="s">
        <v>181</v>
      </c>
      <c r="E72" t="s">
        <v>232</v>
      </c>
      <c r="F72" t="s">
        <v>46</v>
      </c>
      <c r="G72" s="202">
        <v>43709</v>
      </c>
      <c r="H72" s="202">
        <v>44895</v>
      </c>
      <c r="I72" s="390">
        <v>85000</v>
      </c>
      <c r="J72" s="390">
        <v>28330.5</v>
      </c>
    </row>
    <row r="73" spans="1:10">
      <c r="A73">
        <v>507637</v>
      </c>
      <c r="B73">
        <v>208625</v>
      </c>
      <c r="C73" t="s">
        <v>165</v>
      </c>
      <c r="D73" t="s">
        <v>233</v>
      </c>
      <c r="E73" t="s">
        <v>234</v>
      </c>
      <c r="F73" t="s">
        <v>53</v>
      </c>
      <c r="G73" s="202">
        <v>43709</v>
      </c>
      <c r="H73" s="202">
        <v>44895</v>
      </c>
      <c r="I73" s="390">
        <v>63750</v>
      </c>
      <c r="J73" s="390">
        <v>21247.88</v>
      </c>
    </row>
    <row r="74" spans="1:10">
      <c r="A74">
        <v>507637</v>
      </c>
      <c r="B74">
        <v>209660</v>
      </c>
      <c r="C74" t="s">
        <v>165</v>
      </c>
      <c r="D74" t="s">
        <v>128</v>
      </c>
      <c r="E74" t="s">
        <v>235</v>
      </c>
      <c r="F74" t="s">
        <v>68</v>
      </c>
      <c r="G74" s="202">
        <v>43709</v>
      </c>
      <c r="H74" s="202">
        <v>44895</v>
      </c>
      <c r="I74" s="390">
        <v>74800</v>
      </c>
      <c r="J74" s="390">
        <v>24930.84</v>
      </c>
    </row>
    <row r="75" spans="1:10">
      <c r="A75">
        <v>507637</v>
      </c>
      <c r="B75">
        <v>209491</v>
      </c>
      <c r="C75" t="s">
        <v>165</v>
      </c>
      <c r="D75" t="s">
        <v>236</v>
      </c>
      <c r="E75" t="s">
        <v>237</v>
      </c>
      <c r="F75" t="s">
        <v>75</v>
      </c>
      <c r="G75" s="202">
        <v>43709</v>
      </c>
      <c r="H75" s="202">
        <v>44895</v>
      </c>
      <c r="I75" s="390">
        <v>153000</v>
      </c>
      <c r="J75" s="390">
        <v>50994.9</v>
      </c>
    </row>
    <row r="76" spans="1:10">
      <c r="A76">
        <v>507637</v>
      </c>
      <c r="B76">
        <v>209491</v>
      </c>
      <c r="C76" t="s">
        <v>165</v>
      </c>
      <c r="D76" t="s">
        <v>236</v>
      </c>
      <c r="E76" t="s">
        <v>238</v>
      </c>
      <c r="F76" t="s">
        <v>75</v>
      </c>
      <c r="G76" s="202">
        <v>43709</v>
      </c>
      <c r="H76" s="202">
        <v>44895</v>
      </c>
      <c r="I76" s="390">
        <v>-153000</v>
      </c>
      <c r="J76" s="390">
        <v>-50994.9</v>
      </c>
    </row>
    <row r="77" spans="1:10">
      <c r="A77">
        <v>507637</v>
      </c>
      <c r="B77">
        <v>206014</v>
      </c>
      <c r="C77" t="s">
        <v>165</v>
      </c>
      <c r="D77" t="s">
        <v>239</v>
      </c>
      <c r="E77" t="s">
        <v>240</v>
      </c>
      <c r="F77" t="s">
        <v>46</v>
      </c>
      <c r="G77" s="202">
        <v>43709</v>
      </c>
      <c r="H77" s="202">
        <v>44895</v>
      </c>
      <c r="I77" s="390">
        <v>40800</v>
      </c>
      <c r="J77" s="390">
        <v>13598.64</v>
      </c>
    </row>
    <row r="78" spans="1:10">
      <c r="A78">
        <v>507637</v>
      </c>
      <c r="B78">
        <v>211152</v>
      </c>
      <c r="C78" t="s">
        <v>165</v>
      </c>
      <c r="D78" t="s">
        <v>241</v>
      </c>
      <c r="E78" t="s">
        <v>242</v>
      </c>
      <c r="F78" t="s">
        <v>46</v>
      </c>
      <c r="G78" s="202">
        <v>43709</v>
      </c>
      <c r="H78" s="202">
        <v>44895</v>
      </c>
      <c r="I78" s="390">
        <v>40800</v>
      </c>
      <c r="J78" s="390">
        <v>13598.64</v>
      </c>
    </row>
    <row r="79" spans="1:10">
      <c r="A79">
        <v>507637</v>
      </c>
      <c r="B79">
        <v>212636</v>
      </c>
      <c r="C79" t="s">
        <v>165</v>
      </c>
      <c r="D79" t="s">
        <v>110</v>
      </c>
      <c r="E79" t="s">
        <v>243</v>
      </c>
      <c r="F79" t="s">
        <v>53</v>
      </c>
      <c r="G79" s="202">
        <v>43709</v>
      </c>
      <c r="H79" s="202">
        <v>44895</v>
      </c>
      <c r="I79" s="390">
        <v>63750</v>
      </c>
      <c r="J79" s="390">
        <v>21247.88</v>
      </c>
    </row>
    <row r="80" spans="1:10">
      <c r="A80">
        <v>507637</v>
      </c>
      <c r="B80">
        <v>208728</v>
      </c>
      <c r="C80" t="s">
        <v>165</v>
      </c>
      <c r="D80" t="s">
        <v>71</v>
      </c>
      <c r="E80" t="s">
        <v>244</v>
      </c>
      <c r="F80" t="s">
        <v>53</v>
      </c>
      <c r="G80" s="202">
        <v>43709</v>
      </c>
      <c r="H80" s="202">
        <v>44895</v>
      </c>
      <c r="I80" s="390">
        <v>378100</v>
      </c>
      <c r="J80" s="390">
        <v>126020.73</v>
      </c>
    </row>
    <row r="81" spans="1:10">
      <c r="A81">
        <v>507637</v>
      </c>
      <c r="B81">
        <v>202588</v>
      </c>
      <c r="C81" t="s">
        <v>165</v>
      </c>
      <c r="D81" t="s">
        <v>245</v>
      </c>
      <c r="E81" t="s">
        <v>246</v>
      </c>
      <c r="F81" t="s">
        <v>75</v>
      </c>
      <c r="G81" s="202">
        <v>43709</v>
      </c>
      <c r="H81" s="202">
        <v>44895</v>
      </c>
      <c r="I81" s="390">
        <v>153000</v>
      </c>
      <c r="J81" s="390">
        <v>50994.9</v>
      </c>
    </row>
    <row r="82" spans="1:10">
      <c r="A82">
        <v>507637</v>
      </c>
      <c r="B82">
        <v>202588</v>
      </c>
      <c r="C82" t="s">
        <v>165</v>
      </c>
      <c r="D82" t="s">
        <v>245</v>
      </c>
      <c r="E82" t="s">
        <v>246</v>
      </c>
      <c r="F82" t="s">
        <v>75</v>
      </c>
      <c r="G82" s="202">
        <v>43709</v>
      </c>
      <c r="H82" s="202">
        <v>44895</v>
      </c>
      <c r="I82" s="390">
        <v>45239.81</v>
      </c>
      <c r="J82" s="390">
        <v>15078.43</v>
      </c>
    </row>
    <row r="83" spans="1:10">
      <c r="A83">
        <v>507638</v>
      </c>
      <c r="B83">
        <v>211963</v>
      </c>
      <c r="C83" t="s">
        <v>165</v>
      </c>
      <c r="D83" t="s">
        <v>84</v>
      </c>
      <c r="E83" t="s">
        <v>247</v>
      </c>
      <c r="F83" t="s">
        <v>46</v>
      </c>
      <c r="G83" s="202">
        <v>43709</v>
      </c>
      <c r="H83" s="202">
        <v>44895</v>
      </c>
      <c r="I83" s="390">
        <v>133000</v>
      </c>
      <c r="J83" s="390">
        <v>44328.9</v>
      </c>
    </row>
    <row r="84" spans="1:10">
      <c r="A84">
        <v>507638</v>
      </c>
      <c r="B84">
        <v>211963</v>
      </c>
      <c r="C84" t="s">
        <v>165</v>
      </c>
      <c r="D84" t="s">
        <v>84</v>
      </c>
      <c r="E84" t="s">
        <v>247</v>
      </c>
      <c r="F84" t="s">
        <v>46</v>
      </c>
      <c r="G84" s="202">
        <v>43709</v>
      </c>
      <c r="H84" s="202">
        <v>44895</v>
      </c>
      <c r="I84" s="390">
        <v>-5880</v>
      </c>
      <c r="J84" s="390">
        <v>-1959.8</v>
      </c>
    </row>
    <row r="85" spans="1:10">
      <c r="A85">
        <v>507638</v>
      </c>
      <c r="B85">
        <v>207233</v>
      </c>
      <c r="C85" t="s">
        <v>165</v>
      </c>
      <c r="D85" t="s">
        <v>203</v>
      </c>
      <c r="E85" t="s">
        <v>248</v>
      </c>
      <c r="F85" t="s">
        <v>46</v>
      </c>
      <c r="G85" s="202">
        <v>43709</v>
      </c>
      <c r="H85" s="202">
        <v>44895</v>
      </c>
      <c r="I85" s="390">
        <v>133250</v>
      </c>
      <c r="J85" s="390">
        <v>44412.23</v>
      </c>
    </row>
    <row r="86" spans="1:10">
      <c r="A86">
        <v>507638</v>
      </c>
      <c r="B86">
        <v>207233</v>
      </c>
      <c r="C86" t="s">
        <v>165</v>
      </c>
      <c r="D86" t="s">
        <v>203</v>
      </c>
      <c r="E86" t="s">
        <v>248</v>
      </c>
      <c r="F86" t="s">
        <v>46</v>
      </c>
      <c r="G86" s="202">
        <v>43709</v>
      </c>
      <c r="H86" s="202">
        <v>44895</v>
      </c>
      <c r="I86" s="390">
        <v>-5891</v>
      </c>
      <c r="J86" s="390">
        <v>-1963.47</v>
      </c>
    </row>
    <row r="87" spans="1:10">
      <c r="A87">
        <v>507638</v>
      </c>
      <c r="B87">
        <v>207444</v>
      </c>
      <c r="C87" t="s">
        <v>165</v>
      </c>
      <c r="D87" t="s">
        <v>99</v>
      </c>
      <c r="E87" t="s">
        <v>249</v>
      </c>
      <c r="F87" t="s">
        <v>46</v>
      </c>
      <c r="G87" s="202">
        <v>43709</v>
      </c>
      <c r="H87" s="202">
        <v>44895</v>
      </c>
      <c r="I87" s="390">
        <v>110000</v>
      </c>
      <c r="J87" s="390">
        <v>36663</v>
      </c>
    </row>
    <row r="88" spans="1:10">
      <c r="A88">
        <v>507638</v>
      </c>
      <c r="B88">
        <v>207444</v>
      </c>
      <c r="C88" t="s">
        <v>165</v>
      </c>
      <c r="D88" t="s">
        <v>99</v>
      </c>
      <c r="E88" t="s">
        <v>249</v>
      </c>
      <c r="F88" t="s">
        <v>46</v>
      </c>
      <c r="G88" s="202">
        <v>43709</v>
      </c>
      <c r="H88" s="202">
        <v>44895</v>
      </c>
      <c r="I88" s="390">
        <v>-4863</v>
      </c>
      <c r="J88" s="390">
        <v>-1620.84</v>
      </c>
    </row>
    <row r="89" spans="1:10">
      <c r="A89">
        <v>507638</v>
      </c>
      <c r="B89">
        <v>211256</v>
      </c>
      <c r="C89" t="s">
        <v>165</v>
      </c>
      <c r="D89" t="s">
        <v>250</v>
      </c>
      <c r="E89" t="s">
        <v>251</v>
      </c>
      <c r="F89" t="s">
        <v>68</v>
      </c>
      <c r="G89" s="202">
        <v>43709</v>
      </c>
      <c r="H89" s="202">
        <v>44895</v>
      </c>
      <c r="I89" s="390">
        <v>132500</v>
      </c>
      <c r="J89" s="390">
        <v>44162.25</v>
      </c>
    </row>
    <row r="90" spans="1:10">
      <c r="A90">
        <v>507638</v>
      </c>
      <c r="B90">
        <v>209210</v>
      </c>
      <c r="C90" t="s">
        <v>165</v>
      </c>
      <c r="D90" t="s">
        <v>66</v>
      </c>
      <c r="E90" t="s">
        <v>252</v>
      </c>
      <c r="F90" t="s">
        <v>68</v>
      </c>
      <c r="G90" s="202">
        <v>43709</v>
      </c>
      <c r="H90" s="202">
        <v>44895</v>
      </c>
      <c r="I90" s="390">
        <v>60000</v>
      </c>
      <c r="J90" s="390">
        <v>19998</v>
      </c>
    </row>
    <row r="91" spans="1:10">
      <c r="A91">
        <v>507638</v>
      </c>
      <c r="B91">
        <v>206595</v>
      </c>
      <c r="C91" t="s">
        <v>165</v>
      </c>
      <c r="D91" t="s">
        <v>76</v>
      </c>
      <c r="E91" t="s">
        <v>253</v>
      </c>
      <c r="F91" t="s">
        <v>46</v>
      </c>
      <c r="G91" s="202">
        <v>43709</v>
      </c>
      <c r="H91" s="202">
        <v>44895</v>
      </c>
      <c r="I91" s="390">
        <v>132500</v>
      </c>
      <c r="J91" s="390">
        <v>44162.25</v>
      </c>
    </row>
    <row r="92" spans="1:10">
      <c r="A92">
        <v>507638</v>
      </c>
      <c r="B92">
        <v>206595</v>
      </c>
      <c r="C92" t="s">
        <v>165</v>
      </c>
      <c r="D92" t="s">
        <v>76</v>
      </c>
      <c r="E92" t="s">
        <v>254</v>
      </c>
      <c r="F92" t="s">
        <v>46</v>
      </c>
      <c r="G92" s="202">
        <v>43709</v>
      </c>
      <c r="H92" s="202">
        <v>44895</v>
      </c>
      <c r="I92" s="390">
        <v>-5858</v>
      </c>
      <c r="J92" s="390">
        <v>-1952.47</v>
      </c>
    </row>
    <row r="93" spans="1:10">
      <c r="A93">
        <v>507638</v>
      </c>
      <c r="B93">
        <v>212504</v>
      </c>
      <c r="C93" t="s">
        <v>165</v>
      </c>
      <c r="D93" t="s">
        <v>255</v>
      </c>
      <c r="E93" t="s">
        <v>256</v>
      </c>
      <c r="F93" t="s">
        <v>68</v>
      </c>
      <c r="G93" s="202">
        <v>43709</v>
      </c>
      <c r="H93" s="202">
        <v>44895</v>
      </c>
      <c r="I93" s="390">
        <v>133500</v>
      </c>
      <c r="J93" s="390">
        <v>44495.55</v>
      </c>
    </row>
    <row r="94" spans="1:10">
      <c r="A94">
        <v>507638</v>
      </c>
      <c r="B94">
        <v>203820</v>
      </c>
      <c r="C94" t="s">
        <v>165</v>
      </c>
      <c r="D94" t="s">
        <v>106</v>
      </c>
      <c r="E94" t="s">
        <v>257</v>
      </c>
      <c r="F94" t="s">
        <v>46</v>
      </c>
      <c r="G94" s="202">
        <v>43709</v>
      </c>
      <c r="H94" s="202">
        <v>44895</v>
      </c>
      <c r="I94" s="390">
        <v>70000</v>
      </c>
      <c r="J94" s="390">
        <v>23331</v>
      </c>
    </row>
    <row r="95" spans="1:10">
      <c r="A95">
        <v>507638</v>
      </c>
      <c r="B95">
        <v>203820</v>
      </c>
      <c r="C95" t="s">
        <v>165</v>
      </c>
      <c r="D95" t="s">
        <v>106</v>
      </c>
      <c r="E95" t="s">
        <v>257</v>
      </c>
      <c r="F95" t="s">
        <v>46</v>
      </c>
      <c r="G95" s="202">
        <v>43709</v>
      </c>
      <c r="H95" s="202">
        <v>44895</v>
      </c>
      <c r="I95" s="390">
        <v>-3095</v>
      </c>
      <c r="J95" s="390">
        <v>-1031.56</v>
      </c>
    </row>
    <row r="96" spans="1:10">
      <c r="A96">
        <v>507638</v>
      </c>
      <c r="B96">
        <v>203770</v>
      </c>
      <c r="C96" t="s">
        <v>165</v>
      </c>
      <c r="D96" t="s">
        <v>258</v>
      </c>
      <c r="E96" t="s">
        <v>259</v>
      </c>
      <c r="F96" t="s">
        <v>260</v>
      </c>
      <c r="G96" s="202">
        <v>43709</v>
      </c>
      <c r="H96" s="202">
        <v>44895</v>
      </c>
      <c r="I96" s="390">
        <v>25587</v>
      </c>
      <c r="J96" s="390">
        <v>8528.15</v>
      </c>
    </row>
    <row r="97" spans="1:10">
      <c r="A97">
        <v>507638</v>
      </c>
      <c r="B97">
        <v>203770</v>
      </c>
      <c r="C97" t="s">
        <v>165</v>
      </c>
      <c r="D97" t="s">
        <v>258</v>
      </c>
      <c r="E97" t="s">
        <v>259</v>
      </c>
      <c r="F97" t="s">
        <v>260</v>
      </c>
      <c r="G97" s="202">
        <v>43709</v>
      </c>
      <c r="H97" s="202">
        <v>44742</v>
      </c>
      <c r="I97" s="390">
        <v>14413</v>
      </c>
      <c r="J97" s="390">
        <v>4807.8500000000004</v>
      </c>
    </row>
    <row r="98" spans="1:10">
      <c r="A98">
        <v>507639</v>
      </c>
      <c r="B98">
        <v>206147</v>
      </c>
      <c r="C98" t="s">
        <v>165</v>
      </c>
      <c r="D98" t="s">
        <v>196</v>
      </c>
      <c r="E98" t="s">
        <v>261</v>
      </c>
      <c r="F98" t="s">
        <v>46</v>
      </c>
      <c r="G98" s="202">
        <v>43709</v>
      </c>
      <c r="H98" s="202">
        <v>44895</v>
      </c>
      <c r="I98" s="390">
        <v>240000</v>
      </c>
      <c r="J98" s="390">
        <v>79992</v>
      </c>
    </row>
    <row r="99" spans="1:10">
      <c r="A99">
        <v>507639</v>
      </c>
      <c r="B99">
        <v>210174</v>
      </c>
      <c r="C99" t="s">
        <v>165</v>
      </c>
      <c r="D99" t="s">
        <v>262</v>
      </c>
      <c r="E99" t="s">
        <v>263</v>
      </c>
      <c r="F99" t="s">
        <v>46</v>
      </c>
      <c r="G99" s="202">
        <v>43709</v>
      </c>
      <c r="H99" s="202">
        <v>44895</v>
      </c>
      <c r="I99" s="390">
        <v>71250</v>
      </c>
      <c r="J99" s="390">
        <v>23747.63</v>
      </c>
    </row>
    <row r="100" spans="1:10">
      <c r="A100">
        <v>507639</v>
      </c>
      <c r="B100">
        <v>212065</v>
      </c>
      <c r="C100" t="s">
        <v>165</v>
      </c>
      <c r="D100" t="s">
        <v>88</v>
      </c>
      <c r="E100" t="s">
        <v>264</v>
      </c>
      <c r="F100" t="s">
        <v>46</v>
      </c>
      <c r="G100" s="202">
        <v>43709</v>
      </c>
      <c r="H100" s="202">
        <v>44895</v>
      </c>
      <c r="I100" s="390">
        <v>275000</v>
      </c>
      <c r="J100" s="390">
        <v>91657.5</v>
      </c>
    </row>
    <row r="101" spans="1:10">
      <c r="A101">
        <v>507639</v>
      </c>
      <c r="B101">
        <v>206595</v>
      </c>
      <c r="C101" t="s">
        <v>165</v>
      </c>
      <c r="D101" t="s">
        <v>76</v>
      </c>
      <c r="E101" t="s">
        <v>265</v>
      </c>
      <c r="F101" t="s">
        <v>46</v>
      </c>
      <c r="G101" s="202">
        <v>43709</v>
      </c>
      <c r="H101" s="202">
        <v>44895</v>
      </c>
      <c r="I101" s="390">
        <v>40000</v>
      </c>
      <c r="J101" s="390">
        <v>13332</v>
      </c>
    </row>
    <row r="102" spans="1:10">
      <c r="A102">
        <v>507639</v>
      </c>
      <c r="B102">
        <v>206205</v>
      </c>
      <c r="C102" t="s">
        <v>165</v>
      </c>
      <c r="D102" t="s">
        <v>199</v>
      </c>
      <c r="E102" t="s">
        <v>266</v>
      </c>
      <c r="F102" t="s">
        <v>46</v>
      </c>
      <c r="G102" s="202">
        <v>43709</v>
      </c>
      <c r="H102" s="202">
        <v>44895</v>
      </c>
      <c r="I102" s="390">
        <v>240000</v>
      </c>
      <c r="J102" s="390">
        <v>79992</v>
      </c>
    </row>
    <row r="103" spans="1:10">
      <c r="A103">
        <v>507639</v>
      </c>
      <c r="B103">
        <v>208379</v>
      </c>
      <c r="C103" t="s">
        <v>165</v>
      </c>
      <c r="D103" t="s">
        <v>92</v>
      </c>
      <c r="E103" t="s">
        <v>267</v>
      </c>
      <c r="F103" t="s">
        <v>46</v>
      </c>
      <c r="G103" s="202">
        <v>43709</v>
      </c>
      <c r="H103" s="202">
        <v>44895</v>
      </c>
      <c r="I103" s="390">
        <v>80000</v>
      </c>
      <c r="J103" s="390">
        <v>26664</v>
      </c>
    </row>
    <row r="104" spans="1:10">
      <c r="A104">
        <v>507639</v>
      </c>
      <c r="B104">
        <v>212361</v>
      </c>
      <c r="C104" t="s">
        <v>165</v>
      </c>
      <c r="D104" t="s">
        <v>268</v>
      </c>
      <c r="E104" t="s">
        <v>269</v>
      </c>
      <c r="F104" t="s">
        <v>46</v>
      </c>
      <c r="G104" s="202">
        <v>43709</v>
      </c>
      <c r="H104" s="202">
        <v>44895</v>
      </c>
      <c r="I104" s="390">
        <v>240000</v>
      </c>
      <c r="J104" s="390">
        <v>79992</v>
      </c>
    </row>
    <row r="105" spans="1:10">
      <c r="A105">
        <v>507641</v>
      </c>
      <c r="B105">
        <v>203173</v>
      </c>
      <c r="C105" t="s">
        <v>165</v>
      </c>
      <c r="D105" t="s">
        <v>270</v>
      </c>
      <c r="E105" t="s">
        <v>271</v>
      </c>
      <c r="F105" t="s">
        <v>75</v>
      </c>
      <c r="G105" s="202">
        <v>43709</v>
      </c>
      <c r="H105" s="202">
        <v>44895</v>
      </c>
      <c r="I105" s="390">
        <v>61975</v>
      </c>
      <c r="J105" s="390">
        <v>20656.27</v>
      </c>
    </row>
    <row r="106" spans="1:10">
      <c r="A106">
        <v>507641</v>
      </c>
      <c r="B106">
        <v>208897</v>
      </c>
      <c r="C106" t="s">
        <v>165</v>
      </c>
      <c r="D106" t="s">
        <v>272</v>
      </c>
      <c r="E106" t="s">
        <v>273</v>
      </c>
      <c r="F106" t="s">
        <v>46</v>
      </c>
      <c r="G106" s="202">
        <v>43709</v>
      </c>
      <c r="H106" s="202">
        <v>44895</v>
      </c>
      <c r="I106" s="390">
        <v>73925</v>
      </c>
      <c r="J106" s="390">
        <v>24639.200000000001</v>
      </c>
    </row>
    <row r="107" spans="1:10">
      <c r="A107">
        <v>507641</v>
      </c>
      <c r="B107">
        <v>203820</v>
      </c>
      <c r="C107" t="s">
        <v>165</v>
      </c>
      <c r="D107" t="s">
        <v>106</v>
      </c>
      <c r="E107" t="s">
        <v>274</v>
      </c>
      <c r="F107" t="s">
        <v>46</v>
      </c>
      <c r="G107" s="202">
        <v>43709</v>
      </c>
      <c r="H107" s="202">
        <v>44895</v>
      </c>
      <c r="I107" s="390">
        <v>107369</v>
      </c>
      <c r="J107" s="390">
        <v>35786.089999999997</v>
      </c>
    </row>
    <row r="108" spans="1:10">
      <c r="A108">
        <v>507641</v>
      </c>
      <c r="B108">
        <v>208934</v>
      </c>
      <c r="C108" t="s">
        <v>165</v>
      </c>
      <c r="D108" t="s">
        <v>108</v>
      </c>
      <c r="E108" t="s">
        <v>275</v>
      </c>
      <c r="F108" t="s">
        <v>75</v>
      </c>
      <c r="G108" s="202">
        <v>43709</v>
      </c>
      <c r="H108" s="202">
        <v>44895</v>
      </c>
      <c r="I108" s="390">
        <v>58717</v>
      </c>
      <c r="J108" s="390">
        <v>19570.38</v>
      </c>
    </row>
    <row r="109" spans="1:10">
      <c r="A109">
        <v>507641</v>
      </c>
      <c r="B109">
        <v>205592</v>
      </c>
      <c r="C109" t="s">
        <v>165</v>
      </c>
      <c r="D109" t="s">
        <v>213</v>
      </c>
      <c r="E109" t="s">
        <v>276</v>
      </c>
      <c r="F109" t="s">
        <v>46</v>
      </c>
      <c r="G109" s="202">
        <v>43709</v>
      </c>
      <c r="H109" s="202">
        <v>44895</v>
      </c>
      <c r="I109" s="390">
        <v>32000</v>
      </c>
      <c r="J109" s="390">
        <v>10665.6</v>
      </c>
    </row>
    <row r="110" spans="1:10">
      <c r="A110">
        <v>507642</v>
      </c>
      <c r="B110">
        <v>200150</v>
      </c>
      <c r="C110" t="s">
        <v>165</v>
      </c>
      <c r="D110" t="s">
        <v>277</v>
      </c>
      <c r="E110" t="s">
        <v>278</v>
      </c>
      <c r="F110" t="s">
        <v>53</v>
      </c>
      <c r="G110" s="202">
        <v>43709</v>
      </c>
      <c r="H110" s="202">
        <v>44895</v>
      </c>
      <c r="I110" s="390">
        <v>14167</v>
      </c>
      <c r="J110" s="390">
        <v>4721.8599999999997</v>
      </c>
    </row>
    <row r="111" spans="1:10">
      <c r="A111">
        <v>507642</v>
      </c>
      <c r="B111">
        <v>200150</v>
      </c>
      <c r="C111" t="s">
        <v>165</v>
      </c>
      <c r="D111" t="s">
        <v>277</v>
      </c>
      <c r="E111" t="s">
        <v>278</v>
      </c>
      <c r="F111" t="s">
        <v>53</v>
      </c>
      <c r="G111" s="202">
        <v>43709</v>
      </c>
      <c r="H111" s="202">
        <v>44895</v>
      </c>
      <c r="I111" s="390">
        <v>70833</v>
      </c>
      <c r="J111" s="390">
        <v>23608.639999999999</v>
      </c>
    </row>
    <row r="112" spans="1:10">
      <c r="A112">
        <v>507642</v>
      </c>
      <c r="B112">
        <v>212714</v>
      </c>
      <c r="C112" t="s">
        <v>165</v>
      </c>
      <c r="D112" t="s">
        <v>279</v>
      </c>
      <c r="E112" t="s">
        <v>280</v>
      </c>
      <c r="F112" t="s">
        <v>53</v>
      </c>
      <c r="G112" s="202">
        <v>43709</v>
      </c>
      <c r="H112" s="202">
        <v>44895</v>
      </c>
      <c r="I112" s="390">
        <v>14167</v>
      </c>
      <c r="J112" s="390">
        <v>4721.8599999999997</v>
      </c>
    </row>
    <row r="113" spans="1:10">
      <c r="A113">
        <v>507642</v>
      </c>
      <c r="B113">
        <v>212714</v>
      </c>
      <c r="C113" t="s">
        <v>165</v>
      </c>
      <c r="D113" t="s">
        <v>279</v>
      </c>
      <c r="E113" t="s">
        <v>280</v>
      </c>
      <c r="F113" t="s">
        <v>53</v>
      </c>
      <c r="G113" s="202">
        <v>43709</v>
      </c>
      <c r="H113" s="202">
        <v>44895</v>
      </c>
      <c r="I113" s="390">
        <v>70833</v>
      </c>
      <c r="J113" s="390">
        <v>23608.639999999999</v>
      </c>
    </row>
    <row r="114" spans="1:10">
      <c r="A114">
        <v>507642</v>
      </c>
      <c r="B114">
        <v>208607</v>
      </c>
      <c r="C114" t="s">
        <v>165</v>
      </c>
      <c r="D114" t="s">
        <v>281</v>
      </c>
      <c r="E114" t="s">
        <v>282</v>
      </c>
      <c r="F114" t="s">
        <v>53</v>
      </c>
      <c r="G114" s="202">
        <v>43709</v>
      </c>
      <c r="H114" s="202">
        <v>44895</v>
      </c>
      <c r="I114" s="390">
        <v>15000</v>
      </c>
      <c r="J114" s="390">
        <v>4999.5</v>
      </c>
    </row>
    <row r="115" spans="1:10">
      <c r="A115">
        <v>507642</v>
      </c>
      <c r="B115">
        <v>208607</v>
      </c>
      <c r="C115" t="s">
        <v>165</v>
      </c>
      <c r="D115" t="s">
        <v>281</v>
      </c>
      <c r="E115" t="s">
        <v>282</v>
      </c>
      <c r="F115" t="s">
        <v>53</v>
      </c>
      <c r="G115" s="202">
        <v>43709</v>
      </c>
      <c r="H115" s="202">
        <v>44895</v>
      </c>
      <c r="I115" s="390">
        <v>75000</v>
      </c>
      <c r="J115" s="390">
        <v>24997.5</v>
      </c>
    </row>
    <row r="116" spans="1:10">
      <c r="A116">
        <v>507643</v>
      </c>
      <c r="B116">
        <v>208489</v>
      </c>
      <c r="C116" t="s">
        <v>165</v>
      </c>
      <c r="D116" t="s">
        <v>126</v>
      </c>
      <c r="E116" t="s">
        <v>283</v>
      </c>
      <c r="F116" t="s">
        <v>68</v>
      </c>
      <c r="G116" s="202">
        <v>43709</v>
      </c>
      <c r="H116" s="202">
        <v>44895</v>
      </c>
      <c r="I116" s="390">
        <v>12167</v>
      </c>
      <c r="J116" s="390">
        <v>4055.26</v>
      </c>
    </row>
    <row r="117" spans="1:10">
      <c r="A117">
        <v>507643</v>
      </c>
      <c r="B117">
        <v>208489</v>
      </c>
      <c r="C117" t="s">
        <v>165</v>
      </c>
      <c r="D117" t="s">
        <v>126</v>
      </c>
      <c r="E117" t="s">
        <v>283</v>
      </c>
      <c r="F117" t="s">
        <v>68</v>
      </c>
      <c r="G117" s="202">
        <v>43709</v>
      </c>
      <c r="H117" s="202">
        <v>44895</v>
      </c>
      <c r="I117" s="390">
        <v>60833</v>
      </c>
      <c r="J117" s="390">
        <v>20275.64</v>
      </c>
    </row>
    <row r="118" spans="1:10">
      <c r="A118">
        <v>507643</v>
      </c>
      <c r="B118">
        <v>201921</v>
      </c>
      <c r="C118" t="s">
        <v>165</v>
      </c>
      <c r="D118" t="s">
        <v>115</v>
      </c>
      <c r="E118" t="s">
        <v>284</v>
      </c>
      <c r="F118" t="s">
        <v>46</v>
      </c>
      <c r="G118" s="202">
        <v>43709</v>
      </c>
      <c r="H118" s="202">
        <v>44895</v>
      </c>
      <c r="I118" s="390">
        <v>13333</v>
      </c>
      <c r="J118" s="390">
        <v>4443.8900000000003</v>
      </c>
    </row>
    <row r="119" spans="1:10">
      <c r="A119">
        <v>507643</v>
      </c>
      <c r="B119">
        <v>201921</v>
      </c>
      <c r="C119" t="s">
        <v>165</v>
      </c>
      <c r="D119" t="s">
        <v>115</v>
      </c>
      <c r="E119" t="s">
        <v>285</v>
      </c>
      <c r="F119" t="s">
        <v>46</v>
      </c>
      <c r="G119" s="202">
        <v>43709</v>
      </c>
      <c r="H119" s="202">
        <v>44895</v>
      </c>
      <c r="I119" s="390">
        <v>66667</v>
      </c>
      <c r="J119" s="390">
        <v>22220.11</v>
      </c>
    </row>
    <row r="120" spans="1:10">
      <c r="A120">
        <v>507643</v>
      </c>
      <c r="B120">
        <v>211134</v>
      </c>
      <c r="C120" t="s">
        <v>165</v>
      </c>
      <c r="D120" t="s">
        <v>286</v>
      </c>
      <c r="E120" t="s">
        <v>287</v>
      </c>
      <c r="F120" t="s">
        <v>46</v>
      </c>
      <c r="G120" s="202">
        <v>43709</v>
      </c>
      <c r="H120" s="202">
        <v>44895</v>
      </c>
      <c r="I120" s="390">
        <v>13333</v>
      </c>
      <c r="J120" s="390">
        <v>4443.8900000000003</v>
      </c>
    </row>
    <row r="121" spans="1:10">
      <c r="A121">
        <v>507643</v>
      </c>
      <c r="B121">
        <v>211134</v>
      </c>
      <c r="C121" t="s">
        <v>165</v>
      </c>
      <c r="D121" t="s">
        <v>286</v>
      </c>
      <c r="E121" t="s">
        <v>287</v>
      </c>
      <c r="F121" t="s">
        <v>46</v>
      </c>
      <c r="G121" s="202">
        <v>43709</v>
      </c>
      <c r="H121" s="202">
        <v>44895</v>
      </c>
      <c r="I121" s="390">
        <v>66667</v>
      </c>
      <c r="J121" s="390">
        <v>22220.11</v>
      </c>
    </row>
    <row r="122" spans="1:10">
      <c r="A122">
        <v>507643</v>
      </c>
      <c r="B122">
        <v>211134</v>
      </c>
      <c r="C122" t="s">
        <v>165</v>
      </c>
      <c r="D122" t="s">
        <v>286</v>
      </c>
      <c r="E122" t="s">
        <v>287</v>
      </c>
      <c r="F122" t="s">
        <v>46</v>
      </c>
      <c r="G122" s="202">
        <v>43709</v>
      </c>
      <c r="H122" s="202">
        <v>44895</v>
      </c>
      <c r="I122" s="390">
        <v>-16667</v>
      </c>
      <c r="J122" s="390">
        <v>-5555.11</v>
      </c>
    </row>
    <row r="123" spans="1:10">
      <c r="A123">
        <v>507643</v>
      </c>
      <c r="B123">
        <v>208810</v>
      </c>
      <c r="C123" t="s">
        <v>165</v>
      </c>
      <c r="D123" t="s">
        <v>194</v>
      </c>
      <c r="E123" t="s">
        <v>288</v>
      </c>
      <c r="F123" t="s">
        <v>53</v>
      </c>
      <c r="G123" s="202">
        <v>43709</v>
      </c>
      <c r="H123" s="202">
        <v>44895</v>
      </c>
      <c r="I123" s="390">
        <v>16667</v>
      </c>
      <c r="J123" s="390">
        <v>5555.11</v>
      </c>
    </row>
    <row r="124" spans="1:10">
      <c r="A124">
        <v>507643</v>
      </c>
      <c r="B124">
        <v>208810</v>
      </c>
      <c r="C124" t="s">
        <v>165</v>
      </c>
      <c r="D124" t="s">
        <v>194</v>
      </c>
      <c r="E124" t="s">
        <v>288</v>
      </c>
      <c r="F124" t="s">
        <v>53</v>
      </c>
      <c r="G124" s="202">
        <v>43709</v>
      </c>
      <c r="H124" s="202">
        <v>44895</v>
      </c>
      <c r="I124" s="390">
        <v>83333</v>
      </c>
      <c r="J124" s="390">
        <v>27774.89</v>
      </c>
    </row>
    <row r="125" spans="1:10">
      <c r="A125">
        <v>507643</v>
      </c>
      <c r="B125">
        <v>208810</v>
      </c>
      <c r="C125" t="s">
        <v>165</v>
      </c>
      <c r="D125" t="s">
        <v>194</v>
      </c>
      <c r="E125" t="s">
        <v>288</v>
      </c>
      <c r="F125" t="s">
        <v>53</v>
      </c>
      <c r="G125" s="202">
        <v>43709</v>
      </c>
      <c r="H125" s="202">
        <v>44895</v>
      </c>
      <c r="I125" s="390">
        <v>16667</v>
      </c>
      <c r="J125" s="390">
        <v>5555.11</v>
      </c>
    </row>
    <row r="126" spans="1:10">
      <c r="A126">
        <v>507693</v>
      </c>
      <c r="B126">
        <v>211963</v>
      </c>
      <c r="C126" t="s">
        <v>165</v>
      </c>
      <c r="D126" t="s">
        <v>84</v>
      </c>
      <c r="E126" t="s">
        <v>289</v>
      </c>
      <c r="F126" t="s">
        <v>46</v>
      </c>
      <c r="G126" s="202">
        <v>43709</v>
      </c>
      <c r="H126" s="202">
        <v>44895</v>
      </c>
      <c r="I126" s="390">
        <v>33450</v>
      </c>
      <c r="J126" s="390">
        <v>11148.89</v>
      </c>
    </row>
    <row r="127" spans="1:10">
      <c r="A127">
        <v>507693</v>
      </c>
      <c r="B127">
        <v>211063</v>
      </c>
      <c r="C127" t="s">
        <v>165</v>
      </c>
      <c r="D127" t="s">
        <v>290</v>
      </c>
      <c r="E127" t="s">
        <v>291</v>
      </c>
      <c r="F127" t="s">
        <v>68</v>
      </c>
      <c r="G127" s="202">
        <v>43709</v>
      </c>
      <c r="H127" s="202">
        <v>44895</v>
      </c>
      <c r="I127" s="390">
        <v>33450</v>
      </c>
      <c r="J127" s="390">
        <v>11148.89</v>
      </c>
    </row>
    <row r="128" spans="1:10">
      <c r="A128">
        <v>507693</v>
      </c>
      <c r="B128">
        <v>206130</v>
      </c>
      <c r="C128" t="s">
        <v>165</v>
      </c>
      <c r="D128" t="s">
        <v>292</v>
      </c>
      <c r="E128" t="s">
        <v>293</v>
      </c>
      <c r="F128" t="s">
        <v>46</v>
      </c>
      <c r="G128" s="202">
        <v>43709</v>
      </c>
      <c r="H128" s="202">
        <v>44895</v>
      </c>
      <c r="I128" s="390">
        <v>100350</v>
      </c>
      <c r="J128" s="390">
        <v>33446.660000000003</v>
      </c>
    </row>
    <row r="129" spans="1:10">
      <c r="A129">
        <v>507693</v>
      </c>
      <c r="B129">
        <v>212636</v>
      </c>
      <c r="C129" t="s">
        <v>165</v>
      </c>
      <c r="D129" t="s">
        <v>110</v>
      </c>
      <c r="E129" t="s">
        <v>294</v>
      </c>
      <c r="F129" t="s">
        <v>53</v>
      </c>
      <c r="G129" s="202">
        <v>43709</v>
      </c>
      <c r="H129" s="202">
        <v>44895</v>
      </c>
      <c r="I129" s="390">
        <v>108370</v>
      </c>
      <c r="J129" s="390">
        <v>36119.72</v>
      </c>
    </row>
    <row r="130" spans="1:10">
      <c r="A130">
        <v>507693</v>
      </c>
      <c r="B130">
        <v>209184</v>
      </c>
      <c r="C130" t="s">
        <v>165</v>
      </c>
      <c r="D130" t="s">
        <v>112</v>
      </c>
      <c r="E130" t="s">
        <v>295</v>
      </c>
      <c r="F130" t="s">
        <v>53</v>
      </c>
      <c r="G130" s="202">
        <v>43709</v>
      </c>
      <c r="H130" s="202">
        <v>44895</v>
      </c>
      <c r="I130" s="390">
        <v>108000</v>
      </c>
      <c r="J130" s="390">
        <v>35996.400000000001</v>
      </c>
    </row>
    <row r="131" spans="1:10">
      <c r="A131">
        <v>507693</v>
      </c>
      <c r="B131">
        <v>212893</v>
      </c>
      <c r="C131" t="s">
        <v>165</v>
      </c>
      <c r="D131" t="s">
        <v>187</v>
      </c>
      <c r="E131" t="s">
        <v>296</v>
      </c>
      <c r="F131" t="s">
        <v>53</v>
      </c>
      <c r="G131" s="202">
        <v>43709</v>
      </c>
      <c r="H131" s="202">
        <v>44895</v>
      </c>
      <c r="I131" s="390">
        <v>108000</v>
      </c>
      <c r="J131" s="390">
        <v>35996.400000000001</v>
      </c>
    </row>
    <row r="132" spans="1:10">
      <c r="A132">
        <v>507693</v>
      </c>
      <c r="B132">
        <v>209766</v>
      </c>
      <c r="C132" t="s">
        <v>165</v>
      </c>
      <c r="D132" t="s">
        <v>64</v>
      </c>
      <c r="E132" t="s">
        <v>297</v>
      </c>
      <c r="F132" t="s">
        <v>53</v>
      </c>
      <c r="G132" s="202">
        <v>43709</v>
      </c>
      <c r="H132" s="202">
        <v>44895</v>
      </c>
      <c r="I132" s="390">
        <v>108123</v>
      </c>
      <c r="J132" s="390">
        <v>36037.4</v>
      </c>
    </row>
    <row r="133" spans="1:10">
      <c r="A133">
        <v>507693</v>
      </c>
      <c r="B133">
        <v>201921</v>
      </c>
      <c r="C133" t="s">
        <v>165</v>
      </c>
      <c r="D133" t="s">
        <v>115</v>
      </c>
      <c r="E133" t="s">
        <v>285</v>
      </c>
      <c r="F133" t="s">
        <v>46</v>
      </c>
      <c r="G133" s="202">
        <v>43709</v>
      </c>
      <c r="H133" s="202">
        <v>44895</v>
      </c>
      <c r="I133" s="390">
        <v>66900</v>
      </c>
      <c r="J133" s="390">
        <v>22297.77</v>
      </c>
    </row>
    <row r="134" spans="1:10">
      <c r="A134">
        <v>507776</v>
      </c>
      <c r="B134">
        <v>213194</v>
      </c>
      <c r="C134" t="s">
        <v>165</v>
      </c>
      <c r="D134" t="s">
        <v>141</v>
      </c>
      <c r="E134" t="s">
        <v>298</v>
      </c>
      <c r="F134" t="s">
        <v>46</v>
      </c>
      <c r="G134" s="202">
        <v>43709</v>
      </c>
      <c r="H134" s="202">
        <v>44895</v>
      </c>
      <c r="I134" s="390">
        <v>50000</v>
      </c>
      <c r="J134" s="390">
        <v>16665</v>
      </c>
    </row>
    <row r="135" spans="1:10">
      <c r="A135">
        <v>507776</v>
      </c>
      <c r="B135">
        <v>209476</v>
      </c>
      <c r="C135" t="s">
        <v>165</v>
      </c>
      <c r="D135" t="s">
        <v>299</v>
      </c>
      <c r="E135" t="s">
        <v>300</v>
      </c>
      <c r="F135" t="s">
        <v>46</v>
      </c>
      <c r="G135" s="202">
        <v>43709</v>
      </c>
      <c r="H135" s="202">
        <v>44895</v>
      </c>
      <c r="I135" s="390">
        <v>70000</v>
      </c>
      <c r="J135" s="390">
        <v>23331</v>
      </c>
    </row>
    <row r="136" spans="1:10">
      <c r="A136">
        <v>507776</v>
      </c>
      <c r="B136">
        <v>211963</v>
      </c>
      <c r="C136" t="s">
        <v>165</v>
      </c>
      <c r="D136" t="s">
        <v>84</v>
      </c>
      <c r="E136" t="s">
        <v>301</v>
      </c>
      <c r="F136" t="s">
        <v>46</v>
      </c>
      <c r="G136" s="202">
        <v>43709</v>
      </c>
      <c r="H136" s="202">
        <v>44895</v>
      </c>
      <c r="I136" s="390">
        <v>50000</v>
      </c>
      <c r="J136" s="390">
        <v>16665</v>
      </c>
    </row>
    <row r="137" spans="1:10">
      <c r="A137">
        <v>507776</v>
      </c>
      <c r="B137">
        <v>208628</v>
      </c>
      <c r="C137" t="s">
        <v>165</v>
      </c>
      <c r="D137" t="s">
        <v>302</v>
      </c>
      <c r="E137" t="s">
        <v>303</v>
      </c>
      <c r="F137" t="s">
        <v>53</v>
      </c>
      <c r="G137" s="202">
        <v>43709</v>
      </c>
      <c r="H137" s="202">
        <v>44895</v>
      </c>
      <c r="I137" s="390">
        <v>83332</v>
      </c>
      <c r="J137" s="390">
        <v>27774.560000000001</v>
      </c>
    </row>
    <row r="138" spans="1:10">
      <c r="A138">
        <v>507776</v>
      </c>
      <c r="B138">
        <v>209711</v>
      </c>
      <c r="C138" t="s">
        <v>165</v>
      </c>
      <c r="D138" t="s">
        <v>304</v>
      </c>
      <c r="E138" t="s">
        <v>305</v>
      </c>
      <c r="F138" t="s">
        <v>53</v>
      </c>
      <c r="G138" s="202">
        <v>43709</v>
      </c>
      <c r="H138" s="202">
        <v>44895</v>
      </c>
      <c r="I138" s="390">
        <v>83334</v>
      </c>
      <c r="J138" s="390">
        <v>27775.22</v>
      </c>
    </row>
    <row r="139" spans="1:10">
      <c r="A139">
        <v>507776</v>
      </c>
      <c r="B139">
        <v>211377</v>
      </c>
      <c r="C139" t="s">
        <v>165</v>
      </c>
      <c r="D139" t="s">
        <v>55</v>
      </c>
      <c r="E139" t="s">
        <v>306</v>
      </c>
      <c r="F139" t="s">
        <v>53</v>
      </c>
      <c r="G139" s="202">
        <v>43709</v>
      </c>
      <c r="H139" s="202">
        <v>44895</v>
      </c>
      <c r="I139" s="390">
        <v>60000</v>
      </c>
      <c r="J139" s="390">
        <v>19998</v>
      </c>
    </row>
    <row r="140" spans="1:10">
      <c r="A140">
        <v>507776</v>
      </c>
      <c r="B140">
        <v>208625</v>
      </c>
      <c r="C140" t="s">
        <v>165</v>
      </c>
      <c r="D140" t="s">
        <v>233</v>
      </c>
      <c r="E140" t="s">
        <v>307</v>
      </c>
      <c r="F140" t="s">
        <v>53</v>
      </c>
      <c r="G140" s="202">
        <v>43709</v>
      </c>
      <c r="H140" s="202">
        <v>44895</v>
      </c>
      <c r="I140" s="390">
        <v>83334</v>
      </c>
      <c r="J140" s="390">
        <v>27775.22</v>
      </c>
    </row>
    <row r="141" spans="1:10">
      <c r="A141">
        <v>507776</v>
      </c>
      <c r="B141">
        <v>208808</v>
      </c>
      <c r="C141" t="s">
        <v>165</v>
      </c>
      <c r="D141" t="s">
        <v>308</v>
      </c>
      <c r="E141" t="s">
        <v>309</v>
      </c>
      <c r="F141" t="s">
        <v>53</v>
      </c>
      <c r="G141" s="202">
        <v>43709</v>
      </c>
      <c r="H141" s="202">
        <v>44895</v>
      </c>
      <c r="I141" s="390">
        <v>70000</v>
      </c>
      <c r="J141" s="390">
        <v>23331</v>
      </c>
    </row>
    <row r="142" spans="1:10">
      <c r="A142">
        <v>507777</v>
      </c>
      <c r="B142">
        <v>206121</v>
      </c>
      <c r="C142" t="s">
        <v>165</v>
      </c>
      <c r="D142" t="s">
        <v>310</v>
      </c>
      <c r="E142" t="s">
        <v>311</v>
      </c>
      <c r="F142" t="s">
        <v>46</v>
      </c>
      <c r="G142" s="202">
        <v>43709</v>
      </c>
      <c r="H142" s="202">
        <v>44895</v>
      </c>
      <c r="I142" s="390">
        <v>103320</v>
      </c>
      <c r="J142" s="390">
        <v>34436.559999999998</v>
      </c>
    </row>
    <row r="143" spans="1:10">
      <c r="A143">
        <v>507777</v>
      </c>
      <c r="B143">
        <v>206470</v>
      </c>
      <c r="C143" t="s">
        <v>165</v>
      </c>
      <c r="D143" t="s">
        <v>312</v>
      </c>
      <c r="E143" t="s">
        <v>313</v>
      </c>
      <c r="F143" t="s">
        <v>46</v>
      </c>
      <c r="G143" s="202">
        <v>43709</v>
      </c>
      <c r="H143" s="202">
        <v>44895</v>
      </c>
      <c r="I143" s="390">
        <v>54000</v>
      </c>
      <c r="J143" s="390">
        <v>17998.2</v>
      </c>
    </row>
    <row r="144" spans="1:10">
      <c r="A144">
        <v>507777</v>
      </c>
      <c r="B144">
        <v>206470</v>
      </c>
      <c r="C144" t="s">
        <v>165</v>
      </c>
      <c r="D144" t="s">
        <v>312</v>
      </c>
      <c r="E144" t="s">
        <v>313</v>
      </c>
      <c r="F144" t="s">
        <v>46</v>
      </c>
      <c r="G144" s="202">
        <v>43709</v>
      </c>
      <c r="H144" s="202">
        <v>44895</v>
      </c>
      <c r="I144" s="390">
        <v>28716.66</v>
      </c>
      <c r="J144" s="390">
        <v>9571.26</v>
      </c>
    </row>
    <row r="145" spans="1:10">
      <c r="A145">
        <v>507777</v>
      </c>
      <c r="B145">
        <v>208815</v>
      </c>
      <c r="C145" t="s">
        <v>165</v>
      </c>
      <c r="D145" t="s">
        <v>314</v>
      </c>
      <c r="E145" t="s">
        <v>315</v>
      </c>
      <c r="F145" t="s">
        <v>53</v>
      </c>
      <c r="G145" s="202">
        <v>43709</v>
      </c>
      <c r="H145" s="202">
        <v>44895</v>
      </c>
      <c r="I145" s="390">
        <v>48240</v>
      </c>
      <c r="J145" s="390">
        <v>16078.39</v>
      </c>
    </row>
    <row r="146" spans="1:10">
      <c r="A146">
        <v>507777</v>
      </c>
      <c r="B146">
        <v>203628</v>
      </c>
      <c r="C146" t="s">
        <v>165</v>
      </c>
      <c r="D146" t="s">
        <v>189</v>
      </c>
      <c r="E146" t="s">
        <v>316</v>
      </c>
      <c r="F146" t="s">
        <v>53</v>
      </c>
      <c r="G146" s="202">
        <v>43709</v>
      </c>
      <c r="H146" s="202">
        <v>44895</v>
      </c>
      <c r="I146" s="390">
        <v>201530</v>
      </c>
      <c r="J146" s="390">
        <v>67169.95</v>
      </c>
    </row>
    <row r="147" spans="1:10">
      <c r="A147">
        <v>507777</v>
      </c>
      <c r="B147">
        <v>203561</v>
      </c>
      <c r="C147" t="s">
        <v>165</v>
      </c>
      <c r="D147" t="s">
        <v>317</v>
      </c>
      <c r="E147" t="s">
        <v>318</v>
      </c>
      <c r="F147" t="s">
        <v>53</v>
      </c>
      <c r="G147" s="202">
        <v>43709</v>
      </c>
      <c r="H147" s="202">
        <v>44895</v>
      </c>
      <c r="I147" s="390">
        <v>89064</v>
      </c>
      <c r="J147" s="390">
        <v>29685.03</v>
      </c>
    </row>
    <row r="148" spans="1:10">
      <c r="A148">
        <v>507778</v>
      </c>
      <c r="B148">
        <v>211058</v>
      </c>
      <c r="C148" t="s">
        <v>165</v>
      </c>
      <c r="D148" t="s">
        <v>319</v>
      </c>
      <c r="E148" t="s">
        <v>320</v>
      </c>
      <c r="F148" t="s">
        <v>46</v>
      </c>
      <c r="G148" s="202">
        <v>43709</v>
      </c>
      <c r="H148" s="202">
        <v>44895</v>
      </c>
      <c r="I148" s="390">
        <v>10688</v>
      </c>
      <c r="J148" s="390">
        <v>3562.31</v>
      </c>
    </row>
    <row r="149" spans="1:10">
      <c r="A149">
        <v>507778</v>
      </c>
      <c r="B149">
        <v>211058</v>
      </c>
      <c r="C149" t="s">
        <v>165</v>
      </c>
      <c r="D149" t="s">
        <v>319</v>
      </c>
      <c r="E149" t="s">
        <v>320</v>
      </c>
      <c r="F149" t="s">
        <v>46</v>
      </c>
      <c r="G149" s="202">
        <v>43709</v>
      </c>
      <c r="H149" s="202">
        <v>44895</v>
      </c>
      <c r="I149" s="390">
        <v>53438</v>
      </c>
      <c r="J149" s="390">
        <v>17810.89</v>
      </c>
    </row>
    <row r="150" spans="1:10">
      <c r="A150">
        <v>507778</v>
      </c>
      <c r="B150">
        <v>210174</v>
      </c>
      <c r="C150" t="s">
        <v>165</v>
      </c>
      <c r="D150" t="s">
        <v>262</v>
      </c>
      <c r="E150" t="s">
        <v>321</v>
      </c>
      <c r="F150" t="s">
        <v>46</v>
      </c>
      <c r="G150" s="202">
        <v>43709</v>
      </c>
      <c r="H150" s="202">
        <v>44895</v>
      </c>
      <c r="I150" s="390">
        <v>8625</v>
      </c>
      <c r="J150" s="390">
        <v>2874.71</v>
      </c>
    </row>
    <row r="151" spans="1:10">
      <c r="A151">
        <v>507778</v>
      </c>
      <c r="B151">
        <v>210174</v>
      </c>
      <c r="C151" t="s">
        <v>165</v>
      </c>
      <c r="D151" t="s">
        <v>262</v>
      </c>
      <c r="E151" t="s">
        <v>321</v>
      </c>
      <c r="F151" t="s">
        <v>46</v>
      </c>
      <c r="G151" s="202">
        <v>43709</v>
      </c>
      <c r="H151" s="202">
        <v>44895</v>
      </c>
      <c r="I151" s="390">
        <v>43125</v>
      </c>
      <c r="J151" s="390">
        <v>14373.56</v>
      </c>
    </row>
    <row r="152" spans="1:10">
      <c r="A152">
        <v>507778</v>
      </c>
      <c r="B152">
        <v>207444</v>
      </c>
      <c r="C152" t="s">
        <v>165</v>
      </c>
      <c r="D152" t="s">
        <v>99</v>
      </c>
      <c r="E152" t="s">
        <v>322</v>
      </c>
      <c r="F152" t="s">
        <v>46</v>
      </c>
      <c r="G152" s="202">
        <v>43709</v>
      </c>
      <c r="H152" s="202">
        <v>44895</v>
      </c>
      <c r="I152" s="390">
        <v>8333</v>
      </c>
      <c r="J152" s="390">
        <v>2777.39</v>
      </c>
    </row>
    <row r="153" spans="1:10">
      <c r="A153">
        <v>507778</v>
      </c>
      <c r="B153">
        <v>207444</v>
      </c>
      <c r="C153" t="s">
        <v>165</v>
      </c>
      <c r="D153" t="s">
        <v>99</v>
      </c>
      <c r="E153" t="s">
        <v>322</v>
      </c>
      <c r="F153" t="s">
        <v>46</v>
      </c>
      <c r="G153" s="202">
        <v>43709</v>
      </c>
      <c r="H153" s="202">
        <v>44895</v>
      </c>
      <c r="I153" s="390">
        <v>21667</v>
      </c>
      <c r="J153" s="390">
        <v>7221.61</v>
      </c>
    </row>
    <row r="154" spans="1:10">
      <c r="A154">
        <v>507778</v>
      </c>
      <c r="B154">
        <v>212343</v>
      </c>
      <c r="C154" t="s">
        <v>165</v>
      </c>
      <c r="D154" t="s">
        <v>323</v>
      </c>
      <c r="E154" t="s">
        <v>324</v>
      </c>
      <c r="F154" t="s">
        <v>82</v>
      </c>
      <c r="G154" s="202">
        <v>43709</v>
      </c>
      <c r="H154" s="202">
        <v>44895</v>
      </c>
      <c r="I154" s="390">
        <v>18875</v>
      </c>
      <c r="J154" s="390">
        <v>6291.04</v>
      </c>
    </row>
    <row r="155" spans="1:10">
      <c r="A155">
        <v>507778</v>
      </c>
      <c r="B155">
        <v>212343</v>
      </c>
      <c r="C155" t="s">
        <v>165</v>
      </c>
      <c r="D155" t="s">
        <v>323</v>
      </c>
      <c r="E155" t="s">
        <v>324</v>
      </c>
      <c r="F155" t="s">
        <v>82</v>
      </c>
      <c r="G155" s="202">
        <v>43709</v>
      </c>
      <c r="H155" s="202">
        <v>44895</v>
      </c>
      <c r="I155" s="390">
        <v>94375</v>
      </c>
      <c r="J155" s="390">
        <v>31455.19</v>
      </c>
    </row>
    <row r="156" spans="1:10">
      <c r="A156">
        <v>507778</v>
      </c>
      <c r="B156">
        <v>210089</v>
      </c>
      <c r="C156" t="s">
        <v>165</v>
      </c>
      <c r="D156" t="s">
        <v>325</v>
      </c>
      <c r="E156" t="s">
        <v>326</v>
      </c>
      <c r="F156" t="s">
        <v>82</v>
      </c>
      <c r="G156" s="202">
        <v>43709</v>
      </c>
      <c r="H156" s="202">
        <v>44895</v>
      </c>
      <c r="I156" s="390">
        <v>23792</v>
      </c>
      <c r="J156" s="390">
        <v>7929.87</v>
      </c>
    </row>
    <row r="157" spans="1:10">
      <c r="A157">
        <v>507778</v>
      </c>
      <c r="B157">
        <v>210089</v>
      </c>
      <c r="C157" t="s">
        <v>165</v>
      </c>
      <c r="D157" t="s">
        <v>325</v>
      </c>
      <c r="E157" t="s">
        <v>326</v>
      </c>
      <c r="F157" t="s">
        <v>82</v>
      </c>
      <c r="G157" s="202">
        <v>43709</v>
      </c>
      <c r="H157" s="202">
        <v>44895</v>
      </c>
      <c r="I157" s="390">
        <v>138958</v>
      </c>
      <c r="J157" s="390">
        <v>46314.7</v>
      </c>
    </row>
    <row r="158" spans="1:10">
      <c r="A158">
        <v>507779</v>
      </c>
      <c r="B158">
        <v>209346</v>
      </c>
      <c r="C158" t="s">
        <v>165</v>
      </c>
      <c r="D158" t="s">
        <v>130</v>
      </c>
      <c r="E158" t="s">
        <v>327</v>
      </c>
      <c r="F158" t="s">
        <v>53</v>
      </c>
      <c r="G158" s="202">
        <v>43709</v>
      </c>
      <c r="H158" s="202">
        <v>44895</v>
      </c>
      <c r="I158" s="390">
        <v>80000</v>
      </c>
      <c r="J158" s="390">
        <v>26664</v>
      </c>
    </row>
    <row r="159" spans="1:10">
      <c r="A159">
        <v>507779</v>
      </c>
      <c r="B159">
        <v>208630</v>
      </c>
      <c r="C159" t="s">
        <v>165</v>
      </c>
      <c r="D159" t="s">
        <v>328</v>
      </c>
      <c r="E159" t="s">
        <v>329</v>
      </c>
      <c r="F159" t="s">
        <v>53</v>
      </c>
      <c r="G159" s="202">
        <v>43709</v>
      </c>
      <c r="H159" s="202">
        <v>44895</v>
      </c>
      <c r="I159" s="390">
        <v>75000</v>
      </c>
      <c r="J159" s="390">
        <v>24997.5</v>
      </c>
    </row>
    <row r="160" spans="1:10">
      <c r="A160">
        <v>507779</v>
      </c>
      <c r="B160">
        <v>208631</v>
      </c>
      <c r="C160" t="s">
        <v>165</v>
      </c>
      <c r="D160" t="s">
        <v>330</v>
      </c>
      <c r="E160" t="s">
        <v>331</v>
      </c>
      <c r="F160" t="s">
        <v>53</v>
      </c>
      <c r="G160" s="202">
        <v>43709</v>
      </c>
      <c r="H160" s="202">
        <v>44895</v>
      </c>
      <c r="I160" s="390">
        <v>50000</v>
      </c>
      <c r="J160" s="390">
        <v>16665</v>
      </c>
    </row>
    <row r="161" spans="1:10">
      <c r="A161">
        <v>507779</v>
      </c>
      <c r="B161">
        <v>208609</v>
      </c>
      <c r="C161" t="s">
        <v>165</v>
      </c>
      <c r="D161" t="s">
        <v>332</v>
      </c>
      <c r="E161" t="s">
        <v>333</v>
      </c>
      <c r="F161" t="s">
        <v>82</v>
      </c>
      <c r="G161" s="202">
        <v>43709</v>
      </c>
      <c r="H161" s="202">
        <v>44895</v>
      </c>
      <c r="I161" s="390">
        <v>200000</v>
      </c>
      <c r="J161" s="390">
        <v>66660</v>
      </c>
    </row>
    <row r="162" spans="1:10">
      <c r="A162">
        <v>507779</v>
      </c>
      <c r="B162">
        <v>208616</v>
      </c>
      <c r="C162" t="s">
        <v>165</v>
      </c>
      <c r="D162" t="s">
        <v>69</v>
      </c>
      <c r="E162" t="s">
        <v>334</v>
      </c>
      <c r="F162" t="s">
        <v>53</v>
      </c>
      <c r="G162" s="202">
        <v>43709</v>
      </c>
      <c r="H162" s="202">
        <v>44895</v>
      </c>
      <c r="I162" s="390">
        <v>80000</v>
      </c>
      <c r="J162" s="390">
        <v>26664</v>
      </c>
    </row>
    <row r="163" spans="1:10">
      <c r="A163">
        <v>507779</v>
      </c>
      <c r="B163">
        <v>208750</v>
      </c>
      <c r="C163" t="s">
        <v>165</v>
      </c>
      <c r="D163" t="s">
        <v>335</v>
      </c>
      <c r="E163" t="s">
        <v>336</v>
      </c>
      <c r="F163" t="s">
        <v>53</v>
      </c>
      <c r="G163" s="202">
        <v>43709</v>
      </c>
      <c r="H163" s="202">
        <v>44895</v>
      </c>
      <c r="I163" s="390">
        <v>70000</v>
      </c>
      <c r="J163" s="390">
        <v>23331</v>
      </c>
    </row>
    <row r="164" spans="1:10">
      <c r="A164">
        <v>507779</v>
      </c>
      <c r="B164">
        <v>200037</v>
      </c>
      <c r="C164" t="s">
        <v>165</v>
      </c>
      <c r="D164" t="s">
        <v>133</v>
      </c>
      <c r="E164" t="s">
        <v>337</v>
      </c>
      <c r="F164" t="s">
        <v>75</v>
      </c>
      <c r="G164" s="202">
        <v>43709</v>
      </c>
      <c r="H164" s="202">
        <v>44895</v>
      </c>
      <c r="I164" s="390">
        <v>95000</v>
      </c>
      <c r="J164" s="390">
        <v>31663.5</v>
      </c>
    </row>
    <row r="165" spans="1:10">
      <c r="A165">
        <v>508292</v>
      </c>
      <c r="B165">
        <v>211058</v>
      </c>
      <c r="C165" t="s">
        <v>165</v>
      </c>
      <c r="D165" t="s">
        <v>319</v>
      </c>
      <c r="E165" t="s">
        <v>338</v>
      </c>
      <c r="F165" t="s">
        <v>46</v>
      </c>
      <c r="G165" s="202">
        <v>43709</v>
      </c>
      <c r="H165" s="202">
        <v>44895</v>
      </c>
      <c r="I165" s="390">
        <v>81250</v>
      </c>
      <c r="J165" s="390">
        <v>27080.63</v>
      </c>
    </row>
    <row r="166" spans="1:10">
      <c r="A166" t="s">
        <v>11</v>
      </c>
      <c r="I166" s="389">
        <f>SUBTOTAL(109,Table10[Budget])</f>
        <v>13419570.210000001</v>
      </c>
      <c r="J166" s="389">
        <f>SUBTOTAL(109,Table10[OH])</f>
        <v>4472750.8100000005</v>
      </c>
    </row>
    <row r="168" spans="1:10">
      <c r="J168" s="391">
        <f>13419570.21*0.3333</f>
        <v>4472742.7509930003</v>
      </c>
    </row>
    <row r="169" spans="1:10">
      <c r="J169">
        <f>4472750.81-4472742.75</f>
        <v>8.0599999995902181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41BFC-C885-4E2F-81FB-FA17AC071AB1}">
  <sheetPr>
    <tabColor rgb="FF002060"/>
  </sheetPr>
  <dimension ref="A1:J140"/>
  <sheetViews>
    <sheetView workbookViewId="0">
      <selection activeCell="D6" sqref="D6"/>
    </sheetView>
  </sheetViews>
  <sheetFormatPr defaultColWidth="8.7109375" defaultRowHeight="15"/>
  <cols>
    <col min="1" max="1" width="12.140625" customWidth="1"/>
    <col min="2" max="2" width="13.140625" customWidth="1"/>
    <col min="3" max="3" width="45.42578125" customWidth="1"/>
    <col min="4" max="4" width="24.85546875" bestFit="1" customWidth="1"/>
    <col min="5" max="5" width="36.28515625" bestFit="1" customWidth="1"/>
    <col min="6" max="6" width="9.85546875" customWidth="1"/>
    <col min="7" max="7" width="11.5703125" bestFit="1" customWidth="1"/>
    <col min="8" max="8" width="16.140625" customWidth="1"/>
    <col min="9" max="10" width="13.85546875" bestFit="1" customWidth="1"/>
  </cols>
  <sheetData>
    <row r="1" spans="1:10" ht="16.5" thickBot="1">
      <c r="A1" s="251" t="s">
        <v>339</v>
      </c>
      <c r="B1" s="245" t="s">
        <v>340</v>
      </c>
      <c r="C1" s="248" t="s">
        <v>36</v>
      </c>
      <c r="D1" s="248" t="s">
        <v>37</v>
      </c>
      <c r="E1" s="249" t="s">
        <v>38</v>
      </c>
      <c r="F1" s="249" t="s">
        <v>39</v>
      </c>
      <c r="G1" s="249" t="s">
        <v>40</v>
      </c>
      <c r="H1" s="249" t="s">
        <v>41</v>
      </c>
      <c r="I1" s="249" t="s">
        <v>42</v>
      </c>
      <c r="J1" s="250" t="s">
        <v>43</v>
      </c>
    </row>
    <row r="2" spans="1:10" ht="15.75">
      <c r="A2" s="83">
        <v>511440</v>
      </c>
      <c r="B2" s="238">
        <v>208728</v>
      </c>
      <c r="C2" s="238" t="s">
        <v>341</v>
      </c>
      <c r="D2" s="238" t="s">
        <v>342</v>
      </c>
      <c r="E2" s="91" t="s">
        <v>180</v>
      </c>
      <c r="F2" s="91" t="s">
        <v>53</v>
      </c>
      <c r="G2" s="272">
        <v>44075</v>
      </c>
      <c r="H2" s="272">
        <v>44439</v>
      </c>
      <c r="I2" s="257">
        <v>12500</v>
      </c>
      <c r="J2" s="257">
        <v>4166.25</v>
      </c>
    </row>
    <row r="3" spans="1:10" ht="15.75">
      <c r="A3" s="83">
        <v>511440</v>
      </c>
      <c r="B3" s="238">
        <v>209400</v>
      </c>
      <c r="C3" s="238" t="s">
        <v>341</v>
      </c>
      <c r="D3" s="238" t="s">
        <v>343</v>
      </c>
      <c r="E3" s="91" t="s">
        <v>179</v>
      </c>
      <c r="F3" s="91" t="s">
        <v>46</v>
      </c>
      <c r="G3" s="272">
        <v>44075</v>
      </c>
      <c r="H3" s="272">
        <v>44439</v>
      </c>
      <c r="I3" s="257">
        <v>12500</v>
      </c>
      <c r="J3" s="257">
        <v>4166.25</v>
      </c>
    </row>
    <row r="4" spans="1:10" ht="15.75">
      <c r="A4" s="83">
        <v>499942</v>
      </c>
      <c r="B4" s="238">
        <v>107525</v>
      </c>
      <c r="C4" s="238" t="s">
        <v>6</v>
      </c>
      <c r="D4" s="238" t="s">
        <v>44</v>
      </c>
      <c r="E4" s="238" t="s">
        <v>344</v>
      </c>
      <c r="F4" s="91" t="s">
        <v>46</v>
      </c>
      <c r="H4" s="260"/>
      <c r="I4" s="257">
        <v>500000</v>
      </c>
      <c r="J4" s="255">
        <v>166650</v>
      </c>
    </row>
    <row r="5" spans="1:10" ht="15.75">
      <c r="A5" s="83">
        <v>500737</v>
      </c>
      <c r="B5" s="238">
        <v>107525</v>
      </c>
      <c r="C5" s="238" t="s">
        <v>6</v>
      </c>
      <c r="D5" s="238" t="s">
        <v>44</v>
      </c>
      <c r="E5" s="258" t="s">
        <v>345</v>
      </c>
      <c r="F5" s="91" t="s">
        <v>46</v>
      </c>
      <c r="G5" s="272">
        <v>42248</v>
      </c>
      <c r="H5" s="272">
        <v>44651</v>
      </c>
      <c r="I5" s="257">
        <v>200000</v>
      </c>
      <c r="J5" s="257">
        <v>66660</v>
      </c>
    </row>
    <row r="6" spans="1:10" ht="15.75">
      <c r="A6" s="83">
        <v>507782</v>
      </c>
      <c r="B6" s="83">
        <v>202616</v>
      </c>
      <c r="C6" s="83" t="s">
        <v>6</v>
      </c>
      <c r="D6" s="83" t="s">
        <v>47</v>
      </c>
      <c r="E6" s="86" t="s">
        <v>346</v>
      </c>
      <c r="F6" s="86" t="s">
        <v>46</v>
      </c>
      <c r="G6" s="266">
        <v>44075</v>
      </c>
      <c r="H6" s="201">
        <v>44439</v>
      </c>
      <c r="I6" s="255">
        <v>300000</v>
      </c>
      <c r="J6" s="255">
        <v>99990</v>
      </c>
    </row>
    <row r="7" spans="1:10" ht="15.75">
      <c r="A7" s="83">
        <v>501333</v>
      </c>
      <c r="B7" s="238">
        <v>207444</v>
      </c>
      <c r="C7" s="238" t="s">
        <v>347</v>
      </c>
      <c r="D7" s="238" t="s">
        <v>348</v>
      </c>
      <c r="E7" s="91" t="s">
        <v>349</v>
      </c>
      <c r="F7" s="91" t="s">
        <v>46</v>
      </c>
      <c r="G7" s="272">
        <v>42614</v>
      </c>
      <c r="H7" s="272">
        <v>44090</v>
      </c>
      <c r="I7" s="257">
        <v>-169.84</v>
      </c>
      <c r="J7" s="257">
        <v>-56.607672000000001</v>
      </c>
    </row>
    <row r="8" spans="1:10" ht="15.75">
      <c r="A8" s="83">
        <v>501337</v>
      </c>
      <c r="B8" s="238">
        <v>208379</v>
      </c>
      <c r="C8" s="238" t="s">
        <v>347</v>
      </c>
      <c r="D8" s="238" t="s">
        <v>350</v>
      </c>
      <c r="E8" s="91" t="s">
        <v>351</v>
      </c>
      <c r="F8" s="91" t="s">
        <v>46</v>
      </c>
      <c r="G8" s="272">
        <v>42614</v>
      </c>
      <c r="H8" s="272">
        <v>44106</v>
      </c>
      <c r="I8" s="257">
        <v>-47.3</v>
      </c>
      <c r="J8" s="257">
        <v>-15.765089999999999</v>
      </c>
    </row>
    <row r="9" spans="1:10" ht="15.75">
      <c r="A9" s="83">
        <v>501337</v>
      </c>
      <c r="B9" s="238">
        <v>208379</v>
      </c>
      <c r="C9" s="238" t="s">
        <v>347</v>
      </c>
      <c r="D9" s="238" t="s">
        <v>350</v>
      </c>
      <c r="E9" s="91" t="s">
        <v>351</v>
      </c>
      <c r="F9" s="91" t="s">
        <v>46</v>
      </c>
      <c r="G9" s="272">
        <v>42614</v>
      </c>
      <c r="H9" s="272">
        <v>44106</v>
      </c>
      <c r="I9" s="257">
        <v>-70.84</v>
      </c>
      <c r="J9" s="257">
        <v>-23.610972</v>
      </c>
    </row>
    <row r="10" spans="1:10" ht="15.75">
      <c r="A10" s="83">
        <v>501339</v>
      </c>
      <c r="B10" s="238">
        <v>208379</v>
      </c>
      <c r="C10" s="238" t="s">
        <v>347</v>
      </c>
      <c r="D10" s="238" t="s">
        <v>350</v>
      </c>
      <c r="E10" s="91" t="s">
        <v>352</v>
      </c>
      <c r="F10" s="91" t="s">
        <v>46</v>
      </c>
      <c r="G10" s="272">
        <v>42614</v>
      </c>
      <c r="H10" s="272">
        <v>44106</v>
      </c>
      <c r="I10" s="257">
        <v>-4.21</v>
      </c>
      <c r="J10" s="257">
        <v>-1.4031929999999999</v>
      </c>
    </row>
    <row r="11" spans="1:10" ht="15.75">
      <c r="A11" s="83">
        <v>501339</v>
      </c>
      <c r="B11" s="238">
        <v>208379</v>
      </c>
      <c r="C11" s="238" t="s">
        <v>347</v>
      </c>
      <c r="D11" s="238" t="s">
        <v>350</v>
      </c>
      <c r="E11" s="91" t="s">
        <v>352</v>
      </c>
      <c r="F11" s="91" t="s">
        <v>46</v>
      </c>
      <c r="G11" s="272">
        <v>42614</v>
      </c>
      <c r="H11" s="272">
        <v>44117</v>
      </c>
      <c r="I11" s="257">
        <v>-338.46</v>
      </c>
      <c r="J11" s="257">
        <v>-112.80871799999998</v>
      </c>
    </row>
    <row r="12" spans="1:10" ht="15.75">
      <c r="A12" s="83">
        <v>507637</v>
      </c>
      <c r="B12" s="238">
        <v>206014</v>
      </c>
      <c r="C12" s="238" t="s">
        <v>353</v>
      </c>
      <c r="D12" s="238" t="s">
        <v>354</v>
      </c>
      <c r="E12" s="91" t="s">
        <v>355</v>
      </c>
      <c r="F12" s="91" t="s">
        <v>46</v>
      </c>
      <c r="G12" s="272">
        <v>43709</v>
      </c>
      <c r="H12" s="272">
        <v>44530</v>
      </c>
      <c r="I12" s="255">
        <v>40800</v>
      </c>
      <c r="J12" s="255">
        <v>13598.64</v>
      </c>
    </row>
    <row r="13" spans="1:10" ht="15.75">
      <c r="A13" s="83">
        <v>507637</v>
      </c>
      <c r="B13" s="238">
        <v>212636</v>
      </c>
      <c r="C13" s="238" t="s">
        <v>353</v>
      </c>
      <c r="D13" s="238" t="s">
        <v>356</v>
      </c>
      <c r="E13" s="91" t="s">
        <v>357</v>
      </c>
      <c r="F13" s="91" t="s">
        <v>53</v>
      </c>
      <c r="G13" s="272">
        <v>43709</v>
      </c>
      <c r="H13" s="272">
        <v>44530</v>
      </c>
      <c r="I13" s="257">
        <v>63750</v>
      </c>
      <c r="J13" s="257">
        <v>21247.875</v>
      </c>
    </row>
    <row r="14" spans="1:10" ht="15.75">
      <c r="A14" s="83">
        <v>507637</v>
      </c>
      <c r="B14" s="238">
        <v>207636</v>
      </c>
      <c r="C14" s="238" t="s">
        <v>353</v>
      </c>
      <c r="D14" s="238" t="s">
        <v>358</v>
      </c>
      <c r="E14" s="91" t="s">
        <v>359</v>
      </c>
      <c r="F14" s="91" t="s">
        <v>46</v>
      </c>
      <c r="G14" s="272">
        <v>43709</v>
      </c>
      <c r="H14" s="272">
        <v>44530</v>
      </c>
      <c r="I14" s="257">
        <v>85000</v>
      </c>
      <c r="J14" s="257">
        <v>28330.5</v>
      </c>
    </row>
    <row r="15" spans="1:10" ht="15.75">
      <c r="A15" s="83">
        <v>507637</v>
      </c>
      <c r="B15" s="238">
        <v>209660</v>
      </c>
      <c r="C15" s="238" t="s">
        <v>353</v>
      </c>
      <c r="D15" s="238" t="s">
        <v>360</v>
      </c>
      <c r="E15" s="91" t="s">
        <v>361</v>
      </c>
      <c r="F15" s="91" t="s">
        <v>68</v>
      </c>
      <c r="G15" s="272">
        <v>43709</v>
      </c>
      <c r="H15" s="272">
        <v>44530</v>
      </c>
      <c r="I15" s="257">
        <v>74800</v>
      </c>
      <c r="J15" s="257">
        <v>24930.84</v>
      </c>
    </row>
    <row r="16" spans="1:10" ht="15.75">
      <c r="A16" s="83">
        <v>507637</v>
      </c>
      <c r="B16" s="238">
        <v>208728</v>
      </c>
      <c r="C16" s="238" t="s">
        <v>353</v>
      </c>
      <c r="D16" s="238" t="s">
        <v>342</v>
      </c>
      <c r="E16" s="91" t="s">
        <v>362</v>
      </c>
      <c r="F16" s="91" t="s">
        <v>53</v>
      </c>
      <c r="G16" s="272">
        <v>43709</v>
      </c>
      <c r="H16" s="272">
        <v>44530</v>
      </c>
      <c r="I16" s="257">
        <v>378100</v>
      </c>
      <c r="J16" s="257">
        <v>126020.73</v>
      </c>
    </row>
    <row r="17" spans="1:10" ht="15.75">
      <c r="A17" s="83">
        <v>507637</v>
      </c>
      <c r="B17" s="238">
        <v>209491</v>
      </c>
      <c r="C17" s="238" t="s">
        <v>353</v>
      </c>
      <c r="D17" s="238" t="s">
        <v>363</v>
      </c>
      <c r="E17" s="91" t="s">
        <v>238</v>
      </c>
      <c r="F17" s="86" t="s">
        <v>75</v>
      </c>
      <c r="G17" s="272">
        <v>43709</v>
      </c>
      <c r="H17" s="272">
        <v>44530</v>
      </c>
      <c r="I17" s="257">
        <v>153000</v>
      </c>
      <c r="J17" s="257">
        <v>50994.899999999994</v>
      </c>
    </row>
    <row r="18" spans="1:10" ht="15.75">
      <c r="A18" s="83">
        <v>507637</v>
      </c>
      <c r="B18" s="238">
        <v>211152</v>
      </c>
      <c r="C18" s="238" t="s">
        <v>353</v>
      </c>
      <c r="D18" s="238" t="s">
        <v>364</v>
      </c>
      <c r="E18" s="91" t="s">
        <v>365</v>
      </c>
      <c r="F18" s="91" t="s">
        <v>46</v>
      </c>
      <c r="G18" s="272">
        <v>43709</v>
      </c>
      <c r="H18" s="272">
        <v>44530</v>
      </c>
      <c r="I18" s="257">
        <v>40800</v>
      </c>
      <c r="J18" s="255">
        <v>13598.64</v>
      </c>
    </row>
    <row r="19" spans="1:10" ht="15.75">
      <c r="A19" s="83">
        <v>507637</v>
      </c>
      <c r="B19" s="238">
        <v>208625</v>
      </c>
      <c r="C19" s="238" t="s">
        <v>353</v>
      </c>
      <c r="D19" s="238" t="s">
        <v>366</v>
      </c>
      <c r="E19" s="91" t="s">
        <v>367</v>
      </c>
      <c r="F19" s="91" t="s">
        <v>53</v>
      </c>
      <c r="G19" s="272">
        <v>43709</v>
      </c>
      <c r="H19" s="272">
        <v>44530</v>
      </c>
      <c r="I19" s="257">
        <v>63750</v>
      </c>
      <c r="J19" s="257">
        <v>21247.875</v>
      </c>
    </row>
    <row r="20" spans="1:10" ht="15.75">
      <c r="A20" s="83">
        <v>507638</v>
      </c>
      <c r="B20" s="238">
        <v>206595</v>
      </c>
      <c r="C20" s="238" t="s">
        <v>353</v>
      </c>
      <c r="D20" s="238" t="s">
        <v>368</v>
      </c>
      <c r="E20" s="91" t="s">
        <v>253</v>
      </c>
      <c r="F20" s="91" t="s">
        <v>46</v>
      </c>
      <c r="G20" s="272">
        <v>43709</v>
      </c>
      <c r="H20" s="272">
        <v>44530</v>
      </c>
      <c r="I20" s="257">
        <v>133750</v>
      </c>
      <c r="J20" s="257">
        <v>44578.875</v>
      </c>
    </row>
    <row r="21" spans="1:10" ht="15.75">
      <c r="A21" s="83">
        <v>507638</v>
      </c>
      <c r="B21" s="238">
        <v>203820</v>
      </c>
      <c r="C21" s="238" t="s">
        <v>353</v>
      </c>
      <c r="D21" s="238" t="s">
        <v>369</v>
      </c>
      <c r="E21" s="91" t="s">
        <v>257</v>
      </c>
      <c r="F21" s="91" t="s">
        <v>46</v>
      </c>
      <c r="G21" s="272">
        <v>43709</v>
      </c>
      <c r="H21" s="272">
        <v>44530</v>
      </c>
      <c r="I21" s="257">
        <v>30000</v>
      </c>
      <c r="J21" s="257">
        <v>9999</v>
      </c>
    </row>
    <row r="22" spans="1:10" ht="15.75">
      <c r="A22" s="83">
        <v>507638</v>
      </c>
      <c r="B22" s="238">
        <v>211256</v>
      </c>
      <c r="C22" s="238" t="s">
        <v>353</v>
      </c>
      <c r="D22" s="238" t="s">
        <v>370</v>
      </c>
      <c r="E22" s="91" t="s">
        <v>251</v>
      </c>
      <c r="F22" s="91" t="s">
        <v>68</v>
      </c>
      <c r="G22" s="272">
        <v>43709</v>
      </c>
      <c r="H22" s="272">
        <v>44530</v>
      </c>
      <c r="I22" s="257">
        <v>132500</v>
      </c>
      <c r="J22" s="257">
        <v>44162.25</v>
      </c>
    </row>
    <row r="23" spans="1:10" ht="15.75">
      <c r="A23" s="83">
        <v>507638</v>
      </c>
      <c r="B23" s="238">
        <v>212504</v>
      </c>
      <c r="C23" s="238" t="s">
        <v>353</v>
      </c>
      <c r="D23" s="238" t="s">
        <v>371</v>
      </c>
      <c r="E23" s="91" t="s">
        <v>256</v>
      </c>
      <c r="F23" s="91" t="s">
        <v>68</v>
      </c>
      <c r="G23" s="272">
        <v>43709</v>
      </c>
      <c r="H23" s="272">
        <v>44530</v>
      </c>
      <c r="I23" s="257">
        <v>133500</v>
      </c>
      <c r="J23" s="257">
        <v>44495.549999999996</v>
      </c>
    </row>
    <row r="24" spans="1:10" ht="15.75">
      <c r="A24" s="83">
        <v>507638</v>
      </c>
      <c r="B24" s="238">
        <v>211963</v>
      </c>
      <c r="C24" s="238" t="s">
        <v>353</v>
      </c>
      <c r="D24" s="238" t="s">
        <v>372</v>
      </c>
      <c r="E24" s="91" t="s">
        <v>247</v>
      </c>
      <c r="F24" s="91" t="s">
        <v>46</v>
      </c>
      <c r="G24" s="272">
        <v>43709</v>
      </c>
      <c r="H24" s="272">
        <v>44530</v>
      </c>
      <c r="I24" s="257">
        <v>133500</v>
      </c>
      <c r="J24" s="257">
        <v>44495.549999999996</v>
      </c>
    </row>
    <row r="25" spans="1:10" ht="15.75">
      <c r="A25" s="83">
        <v>507638</v>
      </c>
      <c r="B25" s="238">
        <v>207233</v>
      </c>
      <c r="C25" s="238" t="s">
        <v>353</v>
      </c>
      <c r="D25" s="238" t="s">
        <v>373</v>
      </c>
      <c r="E25" s="91" t="s">
        <v>248</v>
      </c>
      <c r="F25" s="91" t="s">
        <v>46</v>
      </c>
      <c r="G25" s="272">
        <v>43709</v>
      </c>
      <c r="H25" s="272">
        <v>44530</v>
      </c>
      <c r="I25" s="257">
        <v>133250</v>
      </c>
      <c r="J25" s="257">
        <v>44412.224999999999</v>
      </c>
    </row>
    <row r="26" spans="1:10" ht="15.75">
      <c r="A26" s="83">
        <v>507638</v>
      </c>
      <c r="B26" s="238">
        <v>203770</v>
      </c>
      <c r="C26" s="238" t="s">
        <v>353</v>
      </c>
      <c r="D26" s="238" t="s">
        <v>374</v>
      </c>
      <c r="E26" s="91" t="s">
        <v>259</v>
      </c>
      <c r="F26" s="83" t="s">
        <v>260</v>
      </c>
      <c r="G26" s="272">
        <v>43709</v>
      </c>
      <c r="H26" s="272">
        <v>44530</v>
      </c>
      <c r="I26" s="257">
        <v>40000</v>
      </c>
      <c r="J26" s="257">
        <v>13332</v>
      </c>
    </row>
    <row r="27" spans="1:10" ht="15.75">
      <c r="A27" s="83">
        <v>507638</v>
      </c>
      <c r="B27" s="238">
        <v>207444</v>
      </c>
      <c r="C27" s="238" t="s">
        <v>353</v>
      </c>
      <c r="D27" s="238" t="s">
        <v>348</v>
      </c>
      <c r="E27" s="91" t="s">
        <v>249</v>
      </c>
      <c r="F27" s="91" t="s">
        <v>46</v>
      </c>
      <c r="G27" s="272">
        <v>43709</v>
      </c>
      <c r="H27" s="272">
        <v>44530</v>
      </c>
      <c r="I27" s="257">
        <v>100000</v>
      </c>
      <c r="J27" s="257">
        <v>33330</v>
      </c>
    </row>
    <row r="28" spans="1:10" ht="15.75">
      <c r="A28" s="83">
        <v>507638</v>
      </c>
      <c r="B28" s="238">
        <v>209210</v>
      </c>
      <c r="C28" s="238" t="s">
        <v>353</v>
      </c>
      <c r="D28" s="238" t="s">
        <v>375</v>
      </c>
      <c r="E28" s="91" t="s">
        <v>252</v>
      </c>
      <c r="F28" s="91" t="s">
        <v>68</v>
      </c>
      <c r="G28" s="272">
        <v>43709</v>
      </c>
      <c r="H28" s="272">
        <v>44530</v>
      </c>
      <c r="I28" s="257">
        <v>62000</v>
      </c>
      <c r="J28" s="257">
        <v>20664.599999999999</v>
      </c>
    </row>
    <row r="29" spans="1:10" ht="15.75">
      <c r="A29" s="83">
        <v>507639</v>
      </c>
      <c r="B29" s="238">
        <v>206595</v>
      </c>
      <c r="C29" s="238" t="s">
        <v>353</v>
      </c>
      <c r="D29" s="238" t="s">
        <v>368</v>
      </c>
      <c r="E29" s="91" t="s">
        <v>376</v>
      </c>
      <c r="F29" s="91" t="s">
        <v>46</v>
      </c>
      <c r="G29" s="272">
        <v>43709</v>
      </c>
      <c r="H29" s="272">
        <v>44530</v>
      </c>
      <c r="I29" s="257">
        <v>40000</v>
      </c>
      <c r="J29" s="257">
        <v>13332</v>
      </c>
    </row>
    <row r="30" spans="1:10" ht="15.75">
      <c r="A30" s="83">
        <v>507639</v>
      </c>
      <c r="B30" s="238">
        <v>210174</v>
      </c>
      <c r="C30" s="238" t="s">
        <v>353</v>
      </c>
      <c r="D30" s="238" t="s">
        <v>377</v>
      </c>
      <c r="E30" s="91" t="s">
        <v>263</v>
      </c>
      <c r="F30" s="91" t="s">
        <v>46</v>
      </c>
      <c r="G30" s="272">
        <v>43709</v>
      </c>
      <c r="H30" s="272">
        <v>44165</v>
      </c>
      <c r="I30" s="257">
        <v>8750</v>
      </c>
      <c r="J30" s="257">
        <v>2916.375</v>
      </c>
    </row>
    <row r="31" spans="1:10" ht="15.75">
      <c r="A31" s="83">
        <v>507639</v>
      </c>
      <c r="B31" s="238">
        <v>210174</v>
      </c>
      <c r="C31" s="238" t="s">
        <v>353</v>
      </c>
      <c r="D31" s="238" t="s">
        <v>377</v>
      </c>
      <c r="E31" s="91" t="s">
        <v>263</v>
      </c>
      <c r="F31" s="91" t="s">
        <v>46</v>
      </c>
      <c r="G31" s="272">
        <v>43709</v>
      </c>
      <c r="H31" s="272">
        <v>44530</v>
      </c>
      <c r="I31" s="257">
        <v>80000</v>
      </c>
      <c r="J31" s="257">
        <v>26664</v>
      </c>
    </row>
    <row r="32" spans="1:10" ht="15.75">
      <c r="A32" s="83">
        <v>507639</v>
      </c>
      <c r="B32" s="238">
        <v>206205</v>
      </c>
      <c r="C32" s="238" t="s">
        <v>353</v>
      </c>
      <c r="D32" s="238" t="s">
        <v>378</v>
      </c>
      <c r="E32" s="91" t="s">
        <v>266</v>
      </c>
      <c r="F32" s="91" t="s">
        <v>46</v>
      </c>
      <c r="G32" s="272">
        <v>43709</v>
      </c>
      <c r="H32" s="272">
        <v>44530</v>
      </c>
      <c r="I32" s="257">
        <v>240000</v>
      </c>
      <c r="J32" s="257">
        <v>79992</v>
      </c>
    </row>
    <row r="33" spans="1:10" ht="15.75">
      <c r="A33" s="83">
        <v>507639</v>
      </c>
      <c r="B33" s="238">
        <v>208379</v>
      </c>
      <c r="C33" s="238" t="s">
        <v>353</v>
      </c>
      <c r="D33" s="238" t="s">
        <v>350</v>
      </c>
      <c r="E33" s="91" t="s">
        <v>267</v>
      </c>
      <c r="F33" s="91" t="s">
        <v>46</v>
      </c>
      <c r="G33" s="272">
        <v>43709</v>
      </c>
      <c r="H33" s="272">
        <v>44530</v>
      </c>
      <c r="I33" s="257">
        <v>80000</v>
      </c>
      <c r="J33" s="257">
        <v>26664</v>
      </c>
    </row>
    <row r="34" spans="1:10" ht="15.75">
      <c r="A34" s="83">
        <v>507639</v>
      </c>
      <c r="B34" s="238">
        <v>212361</v>
      </c>
      <c r="C34" s="238" t="s">
        <v>353</v>
      </c>
      <c r="D34" s="238" t="s">
        <v>379</v>
      </c>
      <c r="E34" s="91" t="s">
        <v>269</v>
      </c>
      <c r="F34" s="91" t="s">
        <v>46</v>
      </c>
      <c r="G34" s="272">
        <v>43709</v>
      </c>
      <c r="H34" s="272">
        <v>44530</v>
      </c>
      <c r="I34" s="257">
        <v>240000</v>
      </c>
      <c r="J34" s="257">
        <v>79992</v>
      </c>
    </row>
    <row r="35" spans="1:10" ht="15.75">
      <c r="A35" s="83">
        <v>507639</v>
      </c>
      <c r="B35" s="238">
        <v>212065</v>
      </c>
      <c r="C35" s="238" t="s">
        <v>353</v>
      </c>
      <c r="D35" s="238" t="s">
        <v>380</v>
      </c>
      <c r="E35" s="91" t="s">
        <v>264</v>
      </c>
      <c r="F35" s="91" t="s">
        <v>46</v>
      </c>
      <c r="G35" s="272">
        <v>43709</v>
      </c>
      <c r="H35" s="272">
        <v>44165</v>
      </c>
      <c r="I35" s="257">
        <v>10000</v>
      </c>
      <c r="J35" s="257">
        <v>3333</v>
      </c>
    </row>
    <row r="36" spans="1:10" ht="15.75">
      <c r="A36" s="83">
        <v>507639</v>
      </c>
      <c r="B36" s="238">
        <v>212065</v>
      </c>
      <c r="C36" s="238" t="s">
        <v>353</v>
      </c>
      <c r="D36" s="238" t="s">
        <v>380</v>
      </c>
      <c r="E36" s="91" t="s">
        <v>264</v>
      </c>
      <c r="F36" s="91" t="s">
        <v>46</v>
      </c>
      <c r="G36" s="272">
        <v>43709</v>
      </c>
      <c r="H36" s="272">
        <v>44530</v>
      </c>
      <c r="I36" s="257">
        <v>275000</v>
      </c>
      <c r="J36" s="257">
        <v>91657.5</v>
      </c>
    </row>
    <row r="37" spans="1:10" ht="15.75">
      <c r="A37" s="83">
        <v>507639</v>
      </c>
      <c r="B37" s="238">
        <v>206147</v>
      </c>
      <c r="C37" s="238" t="s">
        <v>353</v>
      </c>
      <c r="D37" s="238" t="s">
        <v>381</v>
      </c>
      <c r="E37" s="91" t="s">
        <v>261</v>
      </c>
      <c r="F37" s="91" t="s">
        <v>46</v>
      </c>
      <c r="G37" s="272">
        <v>43709</v>
      </c>
      <c r="H37" s="272">
        <v>44530</v>
      </c>
      <c r="I37" s="257">
        <v>240000</v>
      </c>
      <c r="J37" s="257">
        <v>79992</v>
      </c>
    </row>
    <row r="38" spans="1:10" ht="15.75">
      <c r="A38" s="83">
        <v>507641</v>
      </c>
      <c r="B38" s="238">
        <v>208934</v>
      </c>
      <c r="C38" s="238" t="s">
        <v>353</v>
      </c>
      <c r="D38" s="238" t="s">
        <v>382</v>
      </c>
      <c r="E38" s="91" t="s">
        <v>383</v>
      </c>
      <c r="F38" s="91" t="s">
        <v>75</v>
      </c>
      <c r="G38" s="272">
        <v>43709</v>
      </c>
      <c r="H38" s="272">
        <v>44530</v>
      </c>
      <c r="I38" s="257">
        <v>58717</v>
      </c>
      <c r="J38" s="257">
        <v>19570.376099999998</v>
      </c>
    </row>
    <row r="39" spans="1:10" ht="15.75">
      <c r="A39" s="83">
        <v>507641</v>
      </c>
      <c r="B39" s="238">
        <v>203820</v>
      </c>
      <c r="C39" s="238" t="s">
        <v>353</v>
      </c>
      <c r="D39" s="238" t="s">
        <v>369</v>
      </c>
      <c r="E39" s="91" t="s">
        <v>384</v>
      </c>
      <c r="F39" s="91" t="s">
        <v>46</v>
      </c>
      <c r="G39" s="272">
        <v>43709</v>
      </c>
      <c r="H39" s="272">
        <v>44530</v>
      </c>
      <c r="I39" s="257">
        <v>106595</v>
      </c>
      <c r="J39" s="257">
        <v>35528.113499999999</v>
      </c>
    </row>
    <row r="40" spans="1:10" ht="15.75">
      <c r="A40" s="83">
        <v>507641</v>
      </c>
      <c r="B40" s="238">
        <v>203173</v>
      </c>
      <c r="C40" s="238" t="s">
        <v>353</v>
      </c>
      <c r="D40" s="238" t="s">
        <v>385</v>
      </c>
      <c r="E40" s="91" t="s">
        <v>386</v>
      </c>
      <c r="F40" s="91" t="s">
        <v>75</v>
      </c>
      <c r="G40" s="272">
        <v>43709</v>
      </c>
      <c r="H40" s="272">
        <v>44530</v>
      </c>
      <c r="I40" s="257">
        <v>61765</v>
      </c>
      <c r="J40" s="257">
        <v>20586.2745</v>
      </c>
    </row>
    <row r="41" spans="1:10" ht="15.75">
      <c r="A41" s="83">
        <v>507641</v>
      </c>
      <c r="B41" s="238">
        <v>208897</v>
      </c>
      <c r="C41" s="238" t="s">
        <v>353</v>
      </c>
      <c r="D41" s="238" t="s">
        <v>387</v>
      </c>
      <c r="E41" s="91" t="s">
        <v>388</v>
      </c>
      <c r="F41" s="91" t="s">
        <v>46</v>
      </c>
      <c r="G41" s="272">
        <v>43709</v>
      </c>
      <c r="H41" s="272">
        <v>44530</v>
      </c>
      <c r="I41" s="257">
        <v>73925</v>
      </c>
      <c r="J41" s="257">
        <v>24639.202499999999</v>
      </c>
    </row>
    <row r="42" spans="1:10" ht="15.75">
      <c r="A42" s="83">
        <v>507641</v>
      </c>
      <c r="B42" s="238">
        <v>205592</v>
      </c>
      <c r="C42" s="238" t="s">
        <v>353</v>
      </c>
      <c r="D42" s="238" t="s">
        <v>389</v>
      </c>
      <c r="E42" s="91" t="s">
        <v>390</v>
      </c>
      <c r="F42" s="91" t="s">
        <v>46</v>
      </c>
      <c r="G42" s="272">
        <v>43709</v>
      </c>
      <c r="H42" s="272">
        <v>44530</v>
      </c>
      <c r="I42" s="257">
        <v>32000</v>
      </c>
      <c r="J42" s="257">
        <v>10665.6</v>
      </c>
    </row>
    <row r="43" spans="1:10" ht="15.75">
      <c r="A43" s="83">
        <v>507642</v>
      </c>
      <c r="B43" s="238">
        <v>208607</v>
      </c>
      <c r="C43" s="238" t="s">
        <v>353</v>
      </c>
      <c r="D43" s="238" t="s">
        <v>391</v>
      </c>
      <c r="E43" s="91" t="s">
        <v>282</v>
      </c>
      <c r="F43" s="91" t="s">
        <v>53</v>
      </c>
      <c r="G43" s="272">
        <v>43709</v>
      </c>
      <c r="H43" s="272">
        <v>44530</v>
      </c>
      <c r="I43" s="257">
        <v>90000</v>
      </c>
      <c r="J43" s="257">
        <v>29997</v>
      </c>
    </row>
    <row r="44" spans="1:10" ht="15.75">
      <c r="A44" s="83">
        <v>507642</v>
      </c>
      <c r="B44" s="238">
        <v>212714</v>
      </c>
      <c r="C44" s="238" t="s">
        <v>353</v>
      </c>
      <c r="D44" s="238" t="s">
        <v>392</v>
      </c>
      <c r="E44" s="91" t="s">
        <v>280</v>
      </c>
      <c r="F44" s="91" t="s">
        <v>53</v>
      </c>
      <c r="G44" s="272">
        <v>43709</v>
      </c>
      <c r="H44" s="272">
        <v>44530</v>
      </c>
      <c r="I44" s="257">
        <v>85000</v>
      </c>
      <c r="J44" s="257">
        <v>28330.5</v>
      </c>
    </row>
    <row r="45" spans="1:10" ht="15.75">
      <c r="A45" s="83">
        <v>507642</v>
      </c>
      <c r="B45" s="238">
        <v>200150</v>
      </c>
      <c r="C45" s="238" t="s">
        <v>353</v>
      </c>
      <c r="D45" s="238" t="s">
        <v>393</v>
      </c>
      <c r="E45" s="91" t="s">
        <v>278</v>
      </c>
      <c r="F45" s="91" t="s">
        <v>53</v>
      </c>
      <c r="G45" s="272">
        <v>43709</v>
      </c>
      <c r="H45" s="272">
        <v>44530</v>
      </c>
      <c r="I45" s="257">
        <v>85000</v>
      </c>
      <c r="J45" s="257">
        <v>28330.5</v>
      </c>
    </row>
    <row r="46" spans="1:10" ht="15.75">
      <c r="A46" s="83">
        <v>507643</v>
      </c>
      <c r="B46" s="238">
        <v>211134</v>
      </c>
      <c r="C46" s="238" t="s">
        <v>353</v>
      </c>
      <c r="D46" s="238" t="s">
        <v>394</v>
      </c>
      <c r="E46" s="91" t="s">
        <v>287</v>
      </c>
      <c r="F46" s="91" t="s">
        <v>46</v>
      </c>
      <c r="G46" s="272">
        <v>43709</v>
      </c>
      <c r="H46" s="272">
        <v>44530</v>
      </c>
      <c r="I46" s="257">
        <v>80000</v>
      </c>
      <c r="J46" s="257">
        <v>26664</v>
      </c>
    </row>
    <row r="47" spans="1:10" ht="15.75">
      <c r="A47" s="83">
        <v>507643</v>
      </c>
      <c r="B47" s="238">
        <v>208489</v>
      </c>
      <c r="C47" s="238" t="s">
        <v>353</v>
      </c>
      <c r="D47" s="238" t="s">
        <v>395</v>
      </c>
      <c r="E47" s="91" t="s">
        <v>396</v>
      </c>
      <c r="F47" s="91" t="s">
        <v>68</v>
      </c>
      <c r="G47" s="272">
        <v>43709</v>
      </c>
      <c r="H47" s="272">
        <v>44530</v>
      </c>
      <c r="I47" s="257">
        <v>75000</v>
      </c>
      <c r="J47" s="257">
        <v>24997.5</v>
      </c>
    </row>
    <row r="48" spans="1:10" ht="15.75">
      <c r="A48" s="83">
        <v>507643</v>
      </c>
      <c r="B48" s="238">
        <v>201921</v>
      </c>
      <c r="C48" s="238" t="s">
        <v>353</v>
      </c>
      <c r="D48" s="238" t="s">
        <v>397</v>
      </c>
      <c r="E48" s="91" t="s">
        <v>284</v>
      </c>
      <c r="F48" s="91" t="s">
        <v>46</v>
      </c>
      <c r="G48" s="272">
        <v>43709</v>
      </c>
      <c r="H48" s="272">
        <v>44530</v>
      </c>
      <c r="I48" s="257">
        <v>80000</v>
      </c>
      <c r="J48" s="257">
        <v>26664</v>
      </c>
    </row>
    <row r="49" spans="1:10" ht="15.75">
      <c r="A49" s="83">
        <v>507643</v>
      </c>
      <c r="B49" s="238">
        <v>208810</v>
      </c>
      <c r="C49" s="238" t="s">
        <v>353</v>
      </c>
      <c r="D49" s="238" t="s">
        <v>398</v>
      </c>
      <c r="E49" s="91" t="s">
        <v>399</v>
      </c>
      <c r="F49" s="91" t="s">
        <v>53</v>
      </c>
      <c r="G49" s="272">
        <v>43709</v>
      </c>
      <c r="H49" s="272">
        <v>44530</v>
      </c>
      <c r="I49" s="257">
        <v>100000</v>
      </c>
      <c r="J49" s="257">
        <v>33330</v>
      </c>
    </row>
    <row r="50" spans="1:10" ht="15.75">
      <c r="A50" s="83">
        <v>507693</v>
      </c>
      <c r="B50" s="238">
        <v>206130</v>
      </c>
      <c r="C50" s="238" t="s">
        <v>353</v>
      </c>
      <c r="D50" s="238" t="s">
        <v>400</v>
      </c>
      <c r="E50" s="91" t="s">
        <v>401</v>
      </c>
      <c r="F50" s="91" t="s">
        <v>46</v>
      </c>
      <c r="G50" s="272">
        <v>43709</v>
      </c>
      <c r="H50" s="272">
        <v>44530</v>
      </c>
      <c r="I50" s="257">
        <v>100350</v>
      </c>
      <c r="J50" s="257">
        <v>33446.654999999999</v>
      </c>
    </row>
    <row r="51" spans="1:10" ht="15.75">
      <c r="A51" s="83">
        <v>507693</v>
      </c>
      <c r="B51" s="238">
        <v>211063</v>
      </c>
      <c r="C51" s="238" t="s">
        <v>353</v>
      </c>
      <c r="D51" s="238" t="s">
        <v>402</v>
      </c>
      <c r="E51" s="91" t="s">
        <v>403</v>
      </c>
      <c r="F51" s="91" t="s">
        <v>68</v>
      </c>
      <c r="G51" s="272">
        <v>43709</v>
      </c>
      <c r="H51" s="272">
        <v>44530</v>
      </c>
      <c r="I51" s="257">
        <v>33450</v>
      </c>
      <c r="J51" s="257">
        <v>11148.885</v>
      </c>
    </row>
    <row r="52" spans="1:10" ht="15.75">
      <c r="A52" s="83">
        <v>507693</v>
      </c>
      <c r="B52" s="238">
        <v>211963</v>
      </c>
      <c r="C52" s="238" t="s">
        <v>353</v>
      </c>
      <c r="D52" s="238" t="s">
        <v>372</v>
      </c>
      <c r="E52" s="91" t="s">
        <v>404</v>
      </c>
      <c r="F52" s="91" t="s">
        <v>46</v>
      </c>
      <c r="G52" s="272">
        <v>43709</v>
      </c>
      <c r="H52" s="272">
        <v>44530</v>
      </c>
      <c r="I52" s="257">
        <v>33450</v>
      </c>
      <c r="J52" s="257">
        <v>11148.885</v>
      </c>
    </row>
    <row r="53" spans="1:10" ht="15.75">
      <c r="A53" s="83">
        <v>507693</v>
      </c>
      <c r="B53" s="238">
        <v>212636</v>
      </c>
      <c r="C53" s="238" t="s">
        <v>353</v>
      </c>
      <c r="D53" s="238" t="s">
        <v>356</v>
      </c>
      <c r="E53" s="91" t="s">
        <v>405</v>
      </c>
      <c r="F53" s="91" t="s">
        <v>53</v>
      </c>
      <c r="G53" s="272">
        <v>43709</v>
      </c>
      <c r="H53" s="272">
        <v>44530</v>
      </c>
      <c r="I53" s="257">
        <v>108370</v>
      </c>
      <c r="J53" s="257">
        <v>36119.720999999998</v>
      </c>
    </row>
    <row r="54" spans="1:10" ht="15.75">
      <c r="A54" s="83">
        <v>507693</v>
      </c>
      <c r="B54" s="238">
        <v>212893</v>
      </c>
      <c r="C54" s="238" t="s">
        <v>353</v>
      </c>
      <c r="D54" s="238" t="s">
        <v>406</v>
      </c>
      <c r="E54" s="91" t="s">
        <v>407</v>
      </c>
      <c r="F54" s="91" t="s">
        <v>53</v>
      </c>
      <c r="G54" s="272">
        <v>43709</v>
      </c>
      <c r="H54" s="272">
        <v>44530</v>
      </c>
      <c r="I54" s="257">
        <v>108000</v>
      </c>
      <c r="J54" s="257">
        <v>35996.400000000001</v>
      </c>
    </row>
    <row r="55" spans="1:10" ht="15.75">
      <c r="A55" s="83">
        <v>507693</v>
      </c>
      <c r="B55" s="238">
        <v>201921</v>
      </c>
      <c r="C55" s="238" t="s">
        <v>353</v>
      </c>
      <c r="D55" s="238" t="s">
        <v>397</v>
      </c>
      <c r="E55" s="91" t="s">
        <v>408</v>
      </c>
      <c r="F55" s="91" t="s">
        <v>46</v>
      </c>
      <c r="G55" s="272">
        <v>43709</v>
      </c>
      <c r="H55" s="272">
        <v>44530</v>
      </c>
      <c r="I55" s="257">
        <v>66900</v>
      </c>
      <c r="J55" s="257">
        <v>22297.77</v>
      </c>
    </row>
    <row r="56" spans="1:10" ht="15.75">
      <c r="A56" s="83">
        <v>507693</v>
      </c>
      <c r="B56" s="238">
        <v>209766</v>
      </c>
      <c r="C56" s="238" t="s">
        <v>353</v>
      </c>
      <c r="D56" s="238" t="s">
        <v>409</v>
      </c>
      <c r="E56" s="91" t="s">
        <v>410</v>
      </c>
      <c r="F56" s="91" t="s">
        <v>53</v>
      </c>
      <c r="G56" s="272">
        <v>43709</v>
      </c>
      <c r="H56" s="272">
        <v>44530</v>
      </c>
      <c r="I56" s="257">
        <v>108123</v>
      </c>
      <c r="J56" s="257">
        <v>36037.395899999996</v>
      </c>
    </row>
    <row r="57" spans="1:10" ht="15.75">
      <c r="A57" s="83">
        <v>507693</v>
      </c>
      <c r="B57" s="238">
        <v>209184</v>
      </c>
      <c r="C57" s="238" t="s">
        <v>353</v>
      </c>
      <c r="D57" s="238" t="s">
        <v>411</v>
      </c>
      <c r="E57" s="91" t="s">
        <v>412</v>
      </c>
      <c r="F57" s="91" t="s">
        <v>53</v>
      </c>
      <c r="G57" s="272">
        <v>43709</v>
      </c>
      <c r="H57" s="272">
        <v>44530</v>
      </c>
      <c r="I57" s="257">
        <v>108000</v>
      </c>
      <c r="J57" s="257">
        <v>35996.400000000001</v>
      </c>
    </row>
    <row r="58" spans="1:10" ht="15.75">
      <c r="A58" s="83">
        <v>507776</v>
      </c>
      <c r="B58" s="238">
        <v>211963</v>
      </c>
      <c r="C58" s="238" t="s">
        <v>353</v>
      </c>
      <c r="D58" s="238" t="s">
        <v>372</v>
      </c>
      <c r="E58" s="91" t="s">
        <v>301</v>
      </c>
      <c r="F58" s="91" t="s">
        <v>46</v>
      </c>
      <c r="G58" s="272">
        <v>43709</v>
      </c>
      <c r="H58" s="272">
        <v>44530</v>
      </c>
      <c r="I58" s="257">
        <v>50000</v>
      </c>
      <c r="J58" s="257">
        <v>16665</v>
      </c>
    </row>
    <row r="59" spans="1:10" ht="15.75">
      <c r="A59" s="83">
        <v>507776</v>
      </c>
      <c r="B59" s="238">
        <v>211377</v>
      </c>
      <c r="C59" s="238" t="s">
        <v>353</v>
      </c>
      <c r="D59" s="238" t="s">
        <v>413</v>
      </c>
      <c r="E59" s="91" t="s">
        <v>306</v>
      </c>
      <c r="F59" s="91" t="s">
        <v>53</v>
      </c>
      <c r="G59" s="272">
        <v>43709</v>
      </c>
      <c r="H59" s="272">
        <v>44530</v>
      </c>
      <c r="I59" s="257">
        <v>60000</v>
      </c>
      <c r="J59" s="257">
        <v>19998</v>
      </c>
    </row>
    <row r="60" spans="1:10" ht="15.75">
      <c r="A60" s="83">
        <v>507776</v>
      </c>
      <c r="B60" s="238">
        <v>208808</v>
      </c>
      <c r="C60" s="238" t="s">
        <v>353</v>
      </c>
      <c r="D60" s="238" t="s">
        <v>414</v>
      </c>
      <c r="E60" s="91" t="s">
        <v>309</v>
      </c>
      <c r="F60" s="91" t="s">
        <v>53</v>
      </c>
      <c r="G60" s="272">
        <v>43709</v>
      </c>
      <c r="H60" s="272">
        <v>44530</v>
      </c>
      <c r="I60" s="257">
        <v>70000</v>
      </c>
      <c r="J60" s="257">
        <v>23331</v>
      </c>
    </row>
    <row r="61" spans="1:10" ht="15.75">
      <c r="A61" s="83">
        <v>507776</v>
      </c>
      <c r="B61" s="238">
        <v>209476</v>
      </c>
      <c r="C61" s="238" t="s">
        <v>353</v>
      </c>
      <c r="D61" s="238" t="s">
        <v>415</v>
      </c>
      <c r="E61" s="91" t="s">
        <v>300</v>
      </c>
      <c r="F61" s="91" t="s">
        <v>46</v>
      </c>
      <c r="G61" s="272">
        <v>43709</v>
      </c>
      <c r="H61" s="272">
        <v>44530</v>
      </c>
      <c r="I61" s="257">
        <v>70000</v>
      </c>
      <c r="J61" s="257">
        <v>23331</v>
      </c>
    </row>
    <row r="62" spans="1:10" ht="15.75">
      <c r="A62" s="83">
        <v>507776</v>
      </c>
      <c r="B62" s="238">
        <v>208628</v>
      </c>
      <c r="C62" s="238" t="s">
        <v>353</v>
      </c>
      <c r="D62" s="238" t="s">
        <v>416</v>
      </c>
      <c r="E62" s="91" t="s">
        <v>417</v>
      </c>
      <c r="F62" s="91" t="s">
        <v>53</v>
      </c>
      <c r="G62" s="272">
        <v>43709</v>
      </c>
      <c r="H62" s="272">
        <v>44530</v>
      </c>
      <c r="I62" s="257">
        <v>83334</v>
      </c>
      <c r="J62" s="257">
        <v>27775.2222</v>
      </c>
    </row>
    <row r="63" spans="1:10" ht="15.75">
      <c r="A63" s="83">
        <v>507776</v>
      </c>
      <c r="B63" s="238">
        <v>208628</v>
      </c>
      <c r="C63" s="238" t="s">
        <v>353</v>
      </c>
      <c r="D63" s="238" t="s">
        <v>416</v>
      </c>
      <c r="E63" s="91" t="s">
        <v>417</v>
      </c>
      <c r="F63" s="91" t="s">
        <v>53</v>
      </c>
      <c r="G63" s="272">
        <v>44166</v>
      </c>
      <c r="H63" s="272">
        <v>44166</v>
      </c>
      <c r="I63" s="257">
        <v>-50000</v>
      </c>
      <c r="J63" s="257">
        <v>-16665</v>
      </c>
    </row>
    <row r="64" spans="1:10" ht="15.75">
      <c r="A64" s="83">
        <v>507776</v>
      </c>
      <c r="B64" s="238">
        <v>213194</v>
      </c>
      <c r="C64" s="238" t="s">
        <v>353</v>
      </c>
      <c r="D64" s="238" t="s">
        <v>418</v>
      </c>
      <c r="E64" s="91" t="s">
        <v>419</v>
      </c>
      <c r="F64" s="91" t="s">
        <v>46</v>
      </c>
      <c r="G64" s="272">
        <v>43709</v>
      </c>
      <c r="H64" s="272">
        <v>44530</v>
      </c>
      <c r="I64" s="256">
        <v>50000</v>
      </c>
      <c r="J64" s="257">
        <v>16665</v>
      </c>
    </row>
    <row r="65" spans="1:10" ht="15.75">
      <c r="A65" s="83">
        <v>507776</v>
      </c>
      <c r="B65" s="238">
        <v>208625</v>
      </c>
      <c r="C65" s="238" t="s">
        <v>353</v>
      </c>
      <c r="D65" s="238" t="s">
        <v>366</v>
      </c>
      <c r="E65" s="91" t="s">
        <v>307</v>
      </c>
      <c r="F65" s="91" t="s">
        <v>53</v>
      </c>
      <c r="G65" s="272">
        <v>43709</v>
      </c>
      <c r="H65" s="272">
        <v>44530</v>
      </c>
      <c r="I65" s="257">
        <v>83333</v>
      </c>
      <c r="J65" s="257">
        <v>27774.888899999998</v>
      </c>
    </row>
    <row r="66" spans="1:10" ht="15.75">
      <c r="A66" s="83">
        <v>507776</v>
      </c>
      <c r="B66" s="238">
        <v>209711</v>
      </c>
      <c r="C66" s="238" t="s">
        <v>353</v>
      </c>
      <c r="D66" s="238" t="s">
        <v>420</v>
      </c>
      <c r="E66" s="91" t="s">
        <v>305</v>
      </c>
      <c r="F66" s="91" t="s">
        <v>53</v>
      </c>
      <c r="G66" s="272">
        <v>43709</v>
      </c>
      <c r="H66" s="272">
        <v>44530</v>
      </c>
      <c r="I66" s="257">
        <v>83333</v>
      </c>
      <c r="J66" s="257">
        <v>27774.888899999998</v>
      </c>
    </row>
    <row r="67" spans="1:10" ht="15.75">
      <c r="A67" s="83">
        <v>507777</v>
      </c>
      <c r="B67" s="238">
        <v>206470</v>
      </c>
      <c r="C67" s="238" t="s">
        <v>353</v>
      </c>
      <c r="D67" s="238" t="s">
        <v>421</v>
      </c>
      <c r="E67" s="91" t="s">
        <v>313</v>
      </c>
      <c r="F67" s="91" t="s">
        <v>46</v>
      </c>
      <c r="G67" s="272">
        <v>43709</v>
      </c>
      <c r="H67" s="272">
        <v>44530</v>
      </c>
      <c r="I67" s="257">
        <v>54000</v>
      </c>
      <c r="J67" s="257">
        <v>17998.2</v>
      </c>
    </row>
    <row r="68" spans="1:10" ht="15.75">
      <c r="A68" s="83">
        <v>507777</v>
      </c>
      <c r="B68" s="238">
        <v>206121</v>
      </c>
      <c r="C68" s="238" t="s">
        <v>353</v>
      </c>
      <c r="D68" s="238" t="s">
        <v>422</v>
      </c>
      <c r="E68" s="91" t="s">
        <v>311</v>
      </c>
      <c r="F68" s="91" t="s">
        <v>46</v>
      </c>
      <c r="G68" s="272">
        <v>43709</v>
      </c>
      <c r="H68" s="272">
        <v>44530</v>
      </c>
      <c r="I68" s="257">
        <v>103320</v>
      </c>
      <c r="J68" s="257">
        <v>34436.555999999997</v>
      </c>
    </row>
    <row r="69" spans="1:10" ht="15.75">
      <c r="A69" s="83">
        <v>507777</v>
      </c>
      <c r="B69" s="238">
        <v>208815</v>
      </c>
      <c r="C69" s="238" t="s">
        <v>353</v>
      </c>
      <c r="D69" s="238" t="s">
        <v>423</v>
      </c>
      <c r="E69" s="91" t="s">
        <v>315</v>
      </c>
      <c r="F69" s="91" t="s">
        <v>53</v>
      </c>
      <c r="G69" s="272">
        <v>43709</v>
      </c>
      <c r="H69" s="272">
        <v>44530</v>
      </c>
      <c r="I69" s="257">
        <v>48240</v>
      </c>
      <c r="J69" s="257">
        <v>16078.392</v>
      </c>
    </row>
    <row r="70" spans="1:10" ht="15.75">
      <c r="A70" s="83">
        <v>507777</v>
      </c>
      <c r="B70" s="238">
        <v>203628</v>
      </c>
      <c r="C70" s="238" t="s">
        <v>353</v>
      </c>
      <c r="D70" s="238" t="s">
        <v>424</v>
      </c>
      <c r="E70" s="91" t="s">
        <v>316</v>
      </c>
      <c r="F70" s="91" t="s">
        <v>53</v>
      </c>
      <c r="G70" s="272">
        <v>43709</v>
      </c>
      <c r="H70" s="272">
        <v>44530</v>
      </c>
      <c r="I70" s="257">
        <v>201530</v>
      </c>
      <c r="J70" s="257">
        <v>67169.948999999993</v>
      </c>
    </row>
    <row r="71" spans="1:10" ht="15.75">
      <c r="A71" s="83">
        <v>507777</v>
      </c>
      <c r="B71" s="238">
        <v>203561</v>
      </c>
      <c r="C71" s="238" t="s">
        <v>353</v>
      </c>
      <c r="D71" s="238" t="s">
        <v>425</v>
      </c>
      <c r="E71" s="91" t="s">
        <v>318</v>
      </c>
      <c r="F71" s="91" t="s">
        <v>53</v>
      </c>
      <c r="G71" s="272">
        <v>43709</v>
      </c>
      <c r="H71" s="272">
        <v>44530</v>
      </c>
      <c r="I71" s="257">
        <v>89064</v>
      </c>
      <c r="J71" s="257">
        <v>29685.031199999998</v>
      </c>
    </row>
    <row r="72" spans="1:10" ht="15.75">
      <c r="A72" s="83">
        <v>507778</v>
      </c>
      <c r="B72" s="238">
        <v>210174</v>
      </c>
      <c r="C72" s="238" t="s">
        <v>353</v>
      </c>
      <c r="D72" s="238" t="s">
        <v>377</v>
      </c>
      <c r="E72" s="91" t="s">
        <v>426</v>
      </c>
      <c r="F72" s="91" t="s">
        <v>46</v>
      </c>
      <c r="G72" s="201">
        <v>43709</v>
      </c>
      <c r="H72" s="201">
        <v>44165</v>
      </c>
      <c r="I72" s="257">
        <v>14250</v>
      </c>
      <c r="J72" s="257">
        <v>4749.5249999999996</v>
      </c>
    </row>
    <row r="73" spans="1:10" ht="15.75">
      <c r="A73" s="83">
        <v>507778</v>
      </c>
      <c r="B73" s="238">
        <v>210174</v>
      </c>
      <c r="C73" s="238" t="s">
        <v>353</v>
      </c>
      <c r="D73" s="238" t="s">
        <v>377</v>
      </c>
      <c r="E73" s="91" t="s">
        <v>427</v>
      </c>
      <c r="F73" s="91" t="s">
        <v>46</v>
      </c>
      <c r="G73" s="272">
        <v>43709</v>
      </c>
      <c r="H73" s="272">
        <v>44530</v>
      </c>
      <c r="I73" s="257">
        <v>66000</v>
      </c>
      <c r="J73" s="257">
        <v>21997.8</v>
      </c>
    </row>
    <row r="74" spans="1:10" ht="15.75">
      <c r="A74" s="83">
        <v>507778</v>
      </c>
      <c r="B74" s="83">
        <v>210089</v>
      </c>
      <c r="C74" s="238" t="s">
        <v>353</v>
      </c>
      <c r="D74" s="83" t="s">
        <v>428</v>
      </c>
      <c r="E74" s="86" t="s">
        <v>429</v>
      </c>
      <c r="F74" s="244" t="s">
        <v>82</v>
      </c>
      <c r="G74" s="201">
        <v>43709</v>
      </c>
      <c r="H74" s="201">
        <v>44165</v>
      </c>
      <c r="I74" s="255">
        <v>26250</v>
      </c>
      <c r="J74" s="255">
        <v>8749.125</v>
      </c>
    </row>
    <row r="75" spans="1:10" ht="15.75">
      <c r="A75" s="83">
        <v>507778</v>
      </c>
      <c r="B75" s="238">
        <v>210089</v>
      </c>
      <c r="C75" s="238" t="s">
        <v>353</v>
      </c>
      <c r="D75" s="238" t="s">
        <v>428</v>
      </c>
      <c r="E75" s="91" t="s">
        <v>429</v>
      </c>
      <c r="F75" s="91" t="s">
        <v>82</v>
      </c>
      <c r="G75" s="272">
        <v>43709</v>
      </c>
      <c r="H75" s="272">
        <v>44530</v>
      </c>
      <c r="I75" s="257">
        <v>169000</v>
      </c>
      <c r="J75" s="257">
        <v>56327.7</v>
      </c>
    </row>
    <row r="76" spans="1:10" ht="15.75">
      <c r="A76" s="83">
        <v>507778</v>
      </c>
      <c r="B76" s="238">
        <v>212343</v>
      </c>
      <c r="C76" s="238" t="s">
        <v>353</v>
      </c>
      <c r="D76" s="238" t="s">
        <v>430</v>
      </c>
      <c r="E76" s="91" t="s">
        <v>431</v>
      </c>
      <c r="F76" s="91" t="s">
        <v>82</v>
      </c>
      <c r="G76" s="201">
        <v>43709</v>
      </c>
      <c r="H76" s="201">
        <v>44165</v>
      </c>
      <c r="I76" s="257">
        <v>25750</v>
      </c>
      <c r="J76" s="257">
        <v>8582.4750000000004</v>
      </c>
    </row>
    <row r="77" spans="1:10" ht="15.75">
      <c r="A77" s="83">
        <v>507778</v>
      </c>
      <c r="B77" s="238">
        <v>212343</v>
      </c>
      <c r="C77" s="238" t="s">
        <v>353</v>
      </c>
      <c r="D77" s="238" t="s">
        <v>430</v>
      </c>
      <c r="E77" s="91" t="s">
        <v>431</v>
      </c>
      <c r="F77" s="91" t="s">
        <v>82</v>
      </c>
      <c r="G77" s="272">
        <v>43709</v>
      </c>
      <c r="H77" s="272">
        <v>44530</v>
      </c>
      <c r="I77" s="257">
        <v>139000</v>
      </c>
      <c r="J77" s="257">
        <v>46328.7</v>
      </c>
    </row>
    <row r="78" spans="1:10" ht="15.75">
      <c r="A78" s="83">
        <v>507778</v>
      </c>
      <c r="B78" s="238">
        <v>211058</v>
      </c>
      <c r="C78" s="238" t="s">
        <v>353</v>
      </c>
      <c r="D78" s="238" t="s">
        <v>432</v>
      </c>
      <c r="E78" s="91" t="s">
        <v>433</v>
      </c>
      <c r="F78" s="91" t="s">
        <v>46</v>
      </c>
      <c r="G78" s="201">
        <v>43709</v>
      </c>
      <c r="H78" s="201">
        <v>44165</v>
      </c>
      <c r="I78" s="257">
        <v>11875</v>
      </c>
      <c r="J78" s="257">
        <v>3957.9375</v>
      </c>
    </row>
    <row r="79" spans="1:10" ht="15.75">
      <c r="A79" s="83">
        <v>507778</v>
      </c>
      <c r="B79" s="238">
        <v>211058</v>
      </c>
      <c r="C79" s="238" t="s">
        <v>353</v>
      </c>
      <c r="D79" s="238" t="s">
        <v>432</v>
      </c>
      <c r="E79" s="91" t="s">
        <v>433</v>
      </c>
      <c r="F79" s="91" t="s">
        <v>46</v>
      </c>
      <c r="G79" s="272">
        <v>43709</v>
      </c>
      <c r="H79" s="272">
        <v>44530</v>
      </c>
      <c r="I79" s="257">
        <v>76000</v>
      </c>
      <c r="J79" s="257">
        <v>25330.799999999999</v>
      </c>
    </row>
    <row r="80" spans="1:10" ht="15.75">
      <c r="A80" s="83">
        <v>507778</v>
      </c>
      <c r="B80" s="238">
        <v>207444</v>
      </c>
      <c r="C80" s="238" t="s">
        <v>353</v>
      </c>
      <c r="D80" s="238" t="s">
        <v>348</v>
      </c>
      <c r="E80" s="91" t="s">
        <v>434</v>
      </c>
      <c r="F80" s="91" t="s">
        <v>46</v>
      </c>
      <c r="G80" s="272">
        <v>43709</v>
      </c>
      <c r="H80" s="272">
        <v>44530</v>
      </c>
      <c r="I80" s="257">
        <v>50000</v>
      </c>
      <c r="J80" s="257">
        <v>16665</v>
      </c>
    </row>
    <row r="81" spans="1:10" ht="15.75">
      <c r="A81" s="83">
        <v>507779</v>
      </c>
      <c r="B81" s="238">
        <v>208609</v>
      </c>
      <c r="C81" s="238" t="s">
        <v>353</v>
      </c>
      <c r="D81" s="238" t="s">
        <v>435</v>
      </c>
      <c r="E81" s="91" t="s">
        <v>436</v>
      </c>
      <c r="F81" s="91" t="s">
        <v>82</v>
      </c>
      <c r="G81" s="272">
        <v>43709</v>
      </c>
      <c r="H81" s="272">
        <v>44530</v>
      </c>
      <c r="I81" s="257">
        <v>200000</v>
      </c>
      <c r="J81" s="257">
        <v>66660</v>
      </c>
    </row>
    <row r="82" spans="1:10" ht="15.75">
      <c r="A82" s="83">
        <v>507779</v>
      </c>
      <c r="B82" s="238">
        <v>208616</v>
      </c>
      <c r="C82" s="238" t="s">
        <v>353</v>
      </c>
      <c r="D82" s="238" t="s">
        <v>437</v>
      </c>
      <c r="E82" s="91" t="s">
        <v>334</v>
      </c>
      <c r="F82" s="91" t="s">
        <v>53</v>
      </c>
      <c r="G82" s="272">
        <v>43709</v>
      </c>
      <c r="H82" s="272">
        <v>44530</v>
      </c>
      <c r="I82" s="257">
        <v>80000</v>
      </c>
      <c r="J82" s="257">
        <v>26664</v>
      </c>
    </row>
    <row r="83" spans="1:10" ht="15.75">
      <c r="A83" s="83">
        <v>507779</v>
      </c>
      <c r="B83" s="238">
        <v>200037</v>
      </c>
      <c r="C83" s="238" t="s">
        <v>353</v>
      </c>
      <c r="D83" s="238" t="s">
        <v>438</v>
      </c>
      <c r="E83" s="91" t="s">
        <v>439</v>
      </c>
      <c r="F83" s="91" t="s">
        <v>75</v>
      </c>
      <c r="G83" s="272">
        <v>43709</v>
      </c>
      <c r="H83" s="272">
        <v>44530</v>
      </c>
      <c r="I83" s="257">
        <v>95000</v>
      </c>
      <c r="J83" s="257">
        <v>31663.5</v>
      </c>
    </row>
    <row r="84" spans="1:10" ht="15.75">
      <c r="A84" s="83">
        <v>507779</v>
      </c>
      <c r="B84" s="238">
        <v>208630</v>
      </c>
      <c r="C84" s="238" t="s">
        <v>353</v>
      </c>
      <c r="D84" s="238" t="s">
        <v>440</v>
      </c>
      <c r="E84" s="91" t="s">
        <v>329</v>
      </c>
      <c r="F84" s="91" t="s">
        <v>53</v>
      </c>
      <c r="G84" s="272">
        <v>43709</v>
      </c>
      <c r="H84" s="272">
        <v>44530</v>
      </c>
      <c r="I84" s="257">
        <v>75000</v>
      </c>
      <c r="J84" s="257">
        <v>24997.5</v>
      </c>
    </row>
    <row r="85" spans="1:10" ht="15.75">
      <c r="A85" s="83">
        <v>507779</v>
      </c>
      <c r="B85" s="238">
        <v>208750</v>
      </c>
      <c r="C85" s="238" t="s">
        <v>353</v>
      </c>
      <c r="D85" s="238" t="s">
        <v>441</v>
      </c>
      <c r="E85" s="91" t="s">
        <v>336</v>
      </c>
      <c r="F85" s="91" t="s">
        <v>53</v>
      </c>
      <c r="G85" s="272">
        <v>43709</v>
      </c>
      <c r="H85" s="272">
        <v>44530</v>
      </c>
      <c r="I85" s="257">
        <v>70000</v>
      </c>
      <c r="J85" s="257">
        <v>23331</v>
      </c>
    </row>
    <row r="86" spans="1:10" ht="15.75">
      <c r="A86" s="83">
        <v>507779</v>
      </c>
      <c r="B86" s="238">
        <v>209346</v>
      </c>
      <c r="C86" s="238" t="s">
        <v>353</v>
      </c>
      <c r="D86" s="238" t="s">
        <v>442</v>
      </c>
      <c r="E86" s="91" t="s">
        <v>327</v>
      </c>
      <c r="F86" s="91" t="s">
        <v>53</v>
      </c>
      <c r="G86" s="272">
        <v>43709</v>
      </c>
      <c r="H86" s="272">
        <v>44530</v>
      </c>
      <c r="I86" s="257">
        <v>80000</v>
      </c>
      <c r="J86" s="257">
        <v>26664</v>
      </c>
    </row>
    <row r="87" spans="1:10" ht="15.75">
      <c r="A87" s="83">
        <v>507779</v>
      </c>
      <c r="B87" s="238">
        <v>208631</v>
      </c>
      <c r="C87" s="238" t="s">
        <v>353</v>
      </c>
      <c r="D87" s="238" t="s">
        <v>443</v>
      </c>
      <c r="E87" s="91" t="s">
        <v>444</v>
      </c>
      <c r="F87" s="91" t="s">
        <v>53</v>
      </c>
      <c r="G87" s="272">
        <v>43709</v>
      </c>
      <c r="H87" s="272">
        <v>44530</v>
      </c>
      <c r="I87" s="257">
        <v>50000</v>
      </c>
      <c r="J87" s="257">
        <v>16665</v>
      </c>
    </row>
    <row r="88" spans="1:10" ht="15.75">
      <c r="A88" s="83">
        <v>508292</v>
      </c>
      <c r="B88" s="238">
        <v>211058</v>
      </c>
      <c r="C88" s="238" t="s">
        <v>353</v>
      </c>
      <c r="D88" s="238" t="s">
        <v>432</v>
      </c>
      <c r="E88" s="91" t="s">
        <v>338</v>
      </c>
      <c r="F88" s="91" t="s">
        <v>46</v>
      </c>
      <c r="G88" s="272">
        <v>43709</v>
      </c>
      <c r="H88" s="272">
        <v>43901</v>
      </c>
      <c r="I88" s="257">
        <v>18750</v>
      </c>
      <c r="J88" s="257">
        <v>6249.375</v>
      </c>
    </row>
    <row r="89" spans="1:10" ht="15.75">
      <c r="A89" s="83">
        <v>508292</v>
      </c>
      <c r="B89" s="238">
        <v>211058</v>
      </c>
      <c r="C89" s="238" t="s">
        <v>353</v>
      </c>
      <c r="D89" s="238" t="s">
        <v>432</v>
      </c>
      <c r="E89" s="91" t="s">
        <v>445</v>
      </c>
      <c r="F89" s="91" t="s">
        <v>46</v>
      </c>
      <c r="G89" s="272">
        <v>43709</v>
      </c>
      <c r="H89" s="272">
        <v>44530</v>
      </c>
      <c r="I89" s="257">
        <v>100000</v>
      </c>
      <c r="J89" s="257">
        <v>33330</v>
      </c>
    </row>
    <row r="90" spans="1:10" ht="15.75">
      <c r="A90" s="96">
        <v>504839</v>
      </c>
      <c r="B90" s="90">
        <v>209210</v>
      </c>
      <c r="C90" s="90" t="s">
        <v>8</v>
      </c>
      <c r="D90" s="90" t="s">
        <v>375</v>
      </c>
      <c r="E90" s="240" t="s">
        <v>446</v>
      </c>
      <c r="F90" s="91" t="s">
        <v>68</v>
      </c>
      <c r="G90" s="239">
        <v>43191</v>
      </c>
      <c r="H90" s="239">
        <v>44165</v>
      </c>
      <c r="I90" s="256">
        <v>87240</v>
      </c>
      <c r="J90" s="255">
        <v>29077.091999999997</v>
      </c>
    </row>
    <row r="91" spans="1:10" ht="15.75">
      <c r="A91" s="96">
        <v>504875</v>
      </c>
      <c r="B91" s="90">
        <v>209210</v>
      </c>
      <c r="C91" s="90" t="s">
        <v>8</v>
      </c>
      <c r="D91" s="90" t="s">
        <v>375</v>
      </c>
      <c r="E91" s="240" t="s">
        <v>446</v>
      </c>
      <c r="F91" s="91" t="s">
        <v>68</v>
      </c>
      <c r="G91" s="239">
        <v>43191</v>
      </c>
      <c r="H91" s="239">
        <v>44165</v>
      </c>
      <c r="I91" s="256">
        <v>47500</v>
      </c>
      <c r="J91" s="255">
        <v>15831.75</v>
      </c>
    </row>
    <row r="92" spans="1:10" ht="15.75">
      <c r="A92" s="96">
        <v>505362</v>
      </c>
      <c r="B92" s="238">
        <v>209346</v>
      </c>
      <c r="C92" s="90" t="s">
        <v>8</v>
      </c>
      <c r="D92" s="238" t="s">
        <v>442</v>
      </c>
      <c r="E92" s="240" t="s">
        <v>447</v>
      </c>
      <c r="F92" s="91" t="s">
        <v>53</v>
      </c>
      <c r="G92" s="239">
        <v>43282</v>
      </c>
      <c r="H92" s="239">
        <v>44377</v>
      </c>
      <c r="I92" s="256">
        <v>150000</v>
      </c>
      <c r="J92" s="255">
        <v>49995</v>
      </c>
    </row>
    <row r="93" spans="1:10" ht="15.75">
      <c r="A93" s="96">
        <v>505749</v>
      </c>
      <c r="B93" s="238">
        <v>209403</v>
      </c>
      <c r="C93" s="90" t="s">
        <v>8</v>
      </c>
      <c r="D93" s="238" t="s">
        <v>448</v>
      </c>
      <c r="E93" s="240" t="s">
        <v>449</v>
      </c>
      <c r="F93" s="91" t="s">
        <v>53</v>
      </c>
      <c r="G93" s="239">
        <v>43313</v>
      </c>
      <c r="H93" s="239">
        <v>44043</v>
      </c>
      <c r="I93" s="256">
        <v>62500</v>
      </c>
      <c r="J93" s="255">
        <v>20831.25</v>
      </c>
    </row>
    <row r="94" spans="1:10" ht="15.75">
      <c r="A94" s="96">
        <v>509180</v>
      </c>
      <c r="B94" s="83">
        <v>209792</v>
      </c>
      <c r="C94" s="90" t="s">
        <v>8</v>
      </c>
      <c r="D94" s="83" t="s">
        <v>450</v>
      </c>
      <c r="E94" s="86" t="s">
        <v>451</v>
      </c>
      <c r="F94" s="86" t="s">
        <v>46</v>
      </c>
      <c r="G94" s="266">
        <v>43952</v>
      </c>
      <c r="H94" s="266">
        <v>44805</v>
      </c>
      <c r="I94" s="257">
        <v>165101</v>
      </c>
      <c r="J94" s="255">
        <v>55028.1633</v>
      </c>
    </row>
    <row r="95" spans="1:10" ht="15.75">
      <c r="A95" s="96">
        <v>509181</v>
      </c>
      <c r="B95" s="83">
        <v>209792</v>
      </c>
      <c r="C95" s="90" t="s">
        <v>8</v>
      </c>
      <c r="D95" s="83" t="s">
        <v>450</v>
      </c>
      <c r="E95" s="86" t="s">
        <v>451</v>
      </c>
      <c r="F95" s="86" t="s">
        <v>46</v>
      </c>
      <c r="G95" s="266">
        <v>43952</v>
      </c>
      <c r="H95" s="266">
        <v>44805</v>
      </c>
      <c r="I95" s="255">
        <v>608571</v>
      </c>
      <c r="J95" s="255">
        <v>202836.71429999999</v>
      </c>
    </row>
    <row r="96" spans="1:10" ht="15.75">
      <c r="A96" s="96">
        <v>509181</v>
      </c>
      <c r="B96" s="83">
        <v>209792</v>
      </c>
      <c r="C96" s="90" t="s">
        <v>8</v>
      </c>
      <c r="D96" s="83" t="s">
        <v>450</v>
      </c>
      <c r="E96" s="86" t="s">
        <v>451</v>
      </c>
      <c r="F96" s="86" t="s">
        <v>46</v>
      </c>
      <c r="G96" s="201">
        <v>43952</v>
      </c>
      <c r="H96" s="201">
        <v>44805</v>
      </c>
      <c r="I96" s="255">
        <v>-445000</v>
      </c>
      <c r="J96" s="255">
        <v>-148318.5</v>
      </c>
    </row>
    <row r="97" spans="1:10" ht="15.75">
      <c r="A97" s="83">
        <v>509181</v>
      </c>
      <c r="B97" s="238">
        <v>209792</v>
      </c>
      <c r="C97" s="90" t="s">
        <v>8</v>
      </c>
      <c r="D97" s="238" t="s">
        <v>450</v>
      </c>
      <c r="E97" s="86" t="s">
        <v>451</v>
      </c>
      <c r="F97" s="86" t="s">
        <v>46</v>
      </c>
      <c r="G97" s="201">
        <v>43952</v>
      </c>
      <c r="H97" s="201">
        <v>44805</v>
      </c>
      <c r="I97" s="257">
        <v>445000</v>
      </c>
      <c r="J97" s="257">
        <v>148318.5</v>
      </c>
    </row>
    <row r="98" spans="1:10" ht="15.75">
      <c r="A98" s="83">
        <v>511777</v>
      </c>
      <c r="B98" s="193">
        <v>213181</v>
      </c>
      <c r="C98" s="90" t="s">
        <v>8</v>
      </c>
      <c r="D98" s="193" t="s">
        <v>452</v>
      </c>
      <c r="E98" s="91" t="s">
        <v>52</v>
      </c>
      <c r="F98" s="91" t="s">
        <v>53</v>
      </c>
      <c r="G98" s="272">
        <v>44197</v>
      </c>
      <c r="H98" s="272">
        <v>44805</v>
      </c>
      <c r="I98" s="257">
        <v>50000</v>
      </c>
      <c r="J98" s="257">
        <v>16665</v>
      </c>
    </row>
    <row r="99" spans="1:10" ht="15.75">
      <c r="A99" s="83">
        <v>511941</v>
      </c>
      <c r="B99" s="238">
        <v>213182</v>
      </c>
      <c r="C99" s="90" t="s">
        <v>8</v>
      </c>
      <c r="D99" s="238" t="s">
        <v>453</v>
      </c>
      <c r="E99" s="91" t="s">
        <v>168</v>
      </c>
      <c r="F99" s="91" t="s">
        <v>53</v>
      </c>
      <c r="G99" s="272">
        <v>44197</v>
      </c>
      <c r="H99" s="272">
        <v>44805</v>
      </c>
      <c r="I99" s="257">
        <v>50000</v>
      </c>
      <c r="J99" s="257">
        <v>16665</v>
      </c>
    </row>
    <row r="100" spans="1:10" ht="15.75">
      <c r="A100" s="83">
        <v>512148</v>
      </c>
      <c r="B100" s="238">
        <v>213202</v>
      </c>
      <c r="C100" s="90" t="s">
        <v>8</v>
      </c>
      <c r="D100" s="238" t="s">
        <v>454</v>
      </c>
      <c r="E100" s="91" t="s">
        <v>74</v>
      </c>
      <c r="F100" s="91" t="s">
        <v>75</v>
      </c>
      <c r="G100" s="272">
        <v>44287</v>
      </c>
      <c r="H100" s="239">
        <v>44805</v>
      </c>
      <c r="I100" s="257">
        <v>30636</v>
      </c>
      <c r="J100" s="257">
        <v>10210.978799999999</v>
      </c>
    </row>
    <row r="101" spans="1:10" ht="15.75">
      <c r="A101" s="83">
        <v>506456</v>
      </c>
      <c r="B101" s="238">
        <v>207032</v>
      </c>
      <c r="C101" s="238" t="s">
        <v>19</v>
      </c>
      <c r="D101" s="238" t="s">
        <v>455</v>
      </c>
      <c r="E101" s="91" t="s">
        <v>456</v>
      </c>
      <c r="F101" s="91" t="s">
        <v>46</v>
      </c>
      <c r="G101" s="272">
        <v>43556</v>
      </c>
      <c r="H101" s="272">
        <v>44561</v>
      </c>
      <c r="I101" s="257">
        <v>50000</v>
      </c>
      <c r="J101" s="257">
        <v>16665</v>
      </c>
    </row>
    <row r="102" spans="1:10" ht="15.75">
      <c r="A102" s="83">
        <v>506456</v>
      </c>
      <c r="B102" s="238">
        <v>209438</v>
      </c>
      <c r="C102" s="238" t="s">
        <v>19</v>
      </c>
      <c r="D102" s="238" t="s">
        <v>457</v>
      </c>
      <c r="E102" s="91" t="s">
        <v>458</v>
      </c>
      <c r="F102" s="91" t="s">
        <v>46</v>
      </c>
      <c r="G102" s="272">
        <v>43556</v>
      </c>
      <c r="H102" s="272">
        <v>44561</v>
      </c>
      <c r="I102" s="257">
        <v>50000</v>
      </c>
      <c r="J102" s="257">
        <v>16665</v>
      </c>
    </row>
    <row r="103" spans="1:10" ht="15.75">
      <c r="A103" s="242">
        <v>506457</v>
      </c>
      <c r="B103" s="242">
        <v>208406</v>
      </c>
      <c r="C103" s="238" t="s">
        <v>19</v>
      </c>
      <c r="D103" s="242" t="s">
        <v>459</v>
      </c>
      <c r="E103" s="240" t="s">
        <v>460</v>
      </c>
      <c r="F103" s="91" t="s">
        <v>68</v>
      </c>
      <c r="G103" s="239">
        <v>43556</v>
      </c>
      <c r="H103" s="239">
        <v>44286</v>
      </c>
      <c r="I103" s="256">
        <v>25000</v>
      </c>
      <c r="J103" s="255">
        <v>8332.5</v>
      </c>
    </row>
    <row r="104" spans="1:10" ht="15.75">
      <c r="A104" s="242">
        <v>506457</v>
      </c>
      <c r="B104" s="242">
        <v>212361</v>
      </c>
      <c r="C104" s="238" t="s">
        <v>19</v>
      </c>
      <c r="D104" s="242" t="s">
        <v>379</v>
      </c>
      <c r="E104" s="240" t="s">
        <v>461</v>
      </c>
      <c r="F104" s="91" t="s">
        <v>46</v>
      </c>
      <c r="G104" s="239">
        <v>43556</v>
      </c>
      <c r="H104" s="239">
        <v>44286</v>
      </c>
      <c r="I104" s="256">
        <v>75000</v>
      </c>
      <c r="J104" s="255">
        <v>24997.5</v>
      </c>
    </row>
    <row r="105" spans="1:10" ht="15.75">
      <c r="A105" s="242">
        <v>506458</v>
      </c>
      <c r="B105" s="83">
        <v>205547</v>
      </c>
      <c r="C105" s="238" t="s">
        <v>19</v>
      </c>
      <c r="D105" s="83" t="s">
        <v>462</v>
      </c>
      <c r="E105" s="240" t="s">
        <v>463</v>
      </c>
      <c r="F105" s="91" t="s">
        <v>46</v>
      </c>
      <c r="G105" s="239">
        <v>43923</v>
      </c>
      <c r="H105" s="239">
        <v>44286</v>
      </c>
      <c r="I105" s="256">
        <v>26980</v>
      </c>
      <c r="J105" s="255">
        <v>8992.4339999999993</v>
      </c>
    </row>
    <row r="106" spans="1:10" ht="15.75">
      <c r="A106" s="242">
        <v>506458</v>
      </c>
      <c r="B106" s="83">
        <v>212183</v>
      </c>
      <c r="C106" s="238" t="s">
        <v>19</v>
      </c>
      <c r="D106" s="83" t="s">
        <v>464</v>
      </c>
      <c r="E106" s="240" t="s">
        <v>465</v>
      </c>
      <c r="F106" s="91" t="s">
        <v>68</v>
      </c>
      <c r="G106" s="239">
        <v>43922</v>
      </c>
      <c r="H106" s="239">
        <v>44286</v>
      </c>
      <c r="I106" s="256">
        <v>71385</v>
      </c>
      <c r="J106" s="255">
        <v>23792.620499999997</v>
      </c>
    </row>
    <row r="107" spans="1:10" ht="15.75">
      <c r="A107" s="242">
        <v>506459</v>
      </c>
      <c r="B107" s="238">
        <v>205993</v>
      </c>
      <c r="C107" s="238" t="s">
        <v>19</v>
      </c>
      <c r="D107" s="238" t="s">
        <v>466</v>
      </c>
      <c r="E107" s="240" t="s">
        <v>467</v>
      </c>
      <c r="F107" s="91" t="s">
        <v>46</v>
      </c>
      <c r="G107" s="239">
        <v>43556</v>
      </c>
      <c r="H107" s="239">
        <v>44286</v>
      </c>
      <c r="I107" s="256">
        <v>36000</v>
      </c>
      <c r="J107" s="255">
        <v>11998.8</v>
      </c>
    </row>
    <row r="108" spans="1:10" ht="15.75">
      <c r="A108" s="242">
        <v>506459</v>
      </c>
      <c r="B108" s="238">
        <v>208379</v>
      </c>
      <c r="C108" s="238" t="s">
        <v>19</v>
      </c>
      <c r="D108" s="238" t="s">
        <v>350</v>
      </c>
      <c r="E108" s="238" t="s">
        <v>468</v>
      </c>
      <c r="F108" s="88" t="s">
        <v>46</v>
      </c>
      <c r="G108" s="239">
        <v>43556</v>
      </c>
      <c r="H108" s="239">
        <v>44286</v>
      </c>
      <c r="I108" s="257">
        <v>21000</v>
      </c>
      <c r="J108" s="255">
        <v>6999.2999999999993</v>
      </c>
    </row>
    <row r="109" spans="1:10" ht="15.75">
      <c r="A109" s="242">
        <v>506459</v>
      </c>
      <c r="B109" s="238">
        <v>208617</v>
      </c>
      <c r="C109" s="238" t="s">
        <v>19</v>
      </c>
      <c r="D109" s="238" t="s">
        <v>469</v>
      </c>
      <c r="E109" s="238" t="s">
        <v>470</v>
      </c>
      <c r="F109" s="83" t="s">
        <v>68</v>
      </c>
      <c r="G109" s="239">
        <v>43556</v>
      </c>
      <c r="H109" s="239">
        <v>44286</v>
      </c>
      <c r="I109" s="256">
        <v>30000</v>
      </c>
      <c r="J109" s="255">
        <v>9999</v>
      </c>
    </row>
    <row r="110" spans="1:10" ht="15.75">
      <c r="A110" s="83">
        <v>509633</v>
      </c>
      <c r="B110" s="83">
        <v>209400</v>
      </c>
      <c r="C110" s="238" t="s">
        <v>19</v>
      </c>
      <c r="D110" s="83" t="s">
        <v>343</v>
      </c>
      <c r="E110" s="86" t="s">
        <v>471</v>
      </c>
      <c r="F110" s="86" t="s">
        <v>46</v>
      </c>
      <c r="G110" s="201">
        <v>44044</v>
      </c>
      <c r="H110" s="201">
        <v>44408</v>
      </c>
      <c r="I110" s="255">
        <v>100000</v>
      </c>
      <c r="J110" s="255">
        <v>33330</v>
      </c>
    </row>
    <row r="111" spans="1:10" ht="15.75">
      <c r="A111" s="83">
        <v>509633</v>
      </c>
      <c r="B111" s="83">
        <v>209400</v>
      </c>
      <c r="C111" s="238" t="s">
        <v>19</v>
      </c>
      <c r="D111" s="83" t="s">
        <v>343</v>
      </c>
      <c r="E111" s="86" t="s">
        <v>471</v>
      </c>
      <c r="F111" s="86" t="s">
        <v>46</v>
      </c>
      <c r="G111" s="201">
        <v>44044</v>
      </c>
      <c r="H111" s="201">
        <v>44408</v>
      </c>
      <c r="I111" s="255">
        <v>-64100</v>
      </c>
      <c r="J111" s="257">
        <v>-21364.53</v>
      </c>
    </row>
    <row r="112" spans="1:10" ht="15.75">
      <c r="A112" s="83">
        <v>509633</v>
      </c>
      <c r="B112" s="238">
        <v>209400</v>
      </c>
      <c r="C112" s="238" t="s">
        <v>19</v>
      </c>
      <c r="D112" s="238" t="s">
        <v>343</v>
      </c>
      <c r="E112" s="91" t="s">
        <v>471</v>
      </c>
      <c r="F112" s="91" t="s">
        <v>46</v>
      </c>
      <c r="G112" s="272">
        <v>44044</v>
      </c>
      <c r="H112" s="272">
        <v>44408</v>
      </c>
      <c r="I112" s="257">
        <v>64100</v>
      </c>
      <c r="J112" s="257">
        <v>21364.53</v>
      </c>
    </row>
    <row r="113" spans="1:10" ht="15.75">
      <c r="A113" s="83">
        <v>509653</v>
      </c>
      <c r="B113" s="83">
        <v>207233</v>
      </c>
      <c r="C113" s="238" t="s">
        <v>19</v>
      </c>
      <c r="D113" s="83" t="s">
        <v>373</v>
      </c>
      <c r="E113" s="86" t="s">
        <v>215</v>
      </c>
      <c r="F113" s="86" t="s">
        <v>46</v>
      </c>
      <c r="G113" s="201">
        <v>44044</v>
      </c>
      <c r="H113" s="201">
        <v>44408</v>
      </c>
      <c r="I113" s="255">
        <v>10000</v>
      </c>
      <c r="J113" s="255">
        <v>3333</v>
      </c>
    </row>
    <row r="114" spans="1:10" ht="15.75">
      <c r="A114" s="83">
        <v>509653</v>
      </c>
      <c r="B114" s="83">
        <v>209194</v>
      </c>
      <c r="C114" s="238" t="s">
        <v>19</v>
      </c>
      <c r="D114" s="83" t="s">
        <v>472</v>
      </c>
      <c r="E114" s="86" t="s">
        <v>473</v>
      </c>
      <c r="F114" s="86" t="s">
        <v>46</v>
      </c>
      <c r="G114" s="201">
        <v>44044</v>
      </c>
      <c r="H114" s="201">
        <v>44408</v>
      </c>
      <c r="I114" s="255">
        <v>90000</v>
      </c>
      <c r="J114" s="255">
        <v>29997</v>
      </c>
    </row>
    <row r="115" spans="1:10" ht="15.75">
      <c r="A115" s="83">
        <v>509666</v>
      </c>
      <c r="B115" s="83">
        <v>208489</v>
      </c>
      <c r="C115" s="238" t="s">
        <v>19</v>
      </c>
      <c r="D115" s="83" t="s">
        <v>395</v>
      </c>
      <c r="E115" s="86" t="s">
        <v>219</v>
      </c>
      <c r="F115" s="86" t="s">
        <v>68</v>
      </c>
      <c r="G115" s="201">
        <v>44044</v>
      </c>
      <c r="H115" s="201">
        <v>44408</v>
      </c>
      <c r="I115" s="255">
        <v>33000</v>
      </c>
      <c r="J115" s="255">
        <v>10998.9</v>
      </c>
    </row>
    <row r="116" spans="1:10" ht="15.75">
      <c r="A116" s="83">
        <v>509666</v>
      </c>
      <c r="B116" s="83">
        <v>208810</v>
      </c>
      <c r="C116" s="238" t="s">
        <v>19</v>
      </c>
      <c r="D116" s="83" t="s">
        <v>398</v>
      </c>
      <c r="E116" s="86" t="s">
        <v>220</v>
      </c>
      <c r="F116" s="86" t="s">
        <v>53</v>
      </c>
      <c r="G116" s="201">
        <v>44044</v>
      </c>
      <c r="H116" s="201">
        <v>44408</v>
      </c>
      <c r="I116" s="255">
        <v>23000</v>
      </c>
      <c r="J116" s="255">
        <v>7665.9</v>
      </c>
    </row>
    <row r="117" spans="1:10" ht="15.75">
      <c r="A117" s="83">
        <v>509666</v>
      </c>
      <c r="B117" s="83">
        <v>209438</v>
      </c>
      <c r="C117" s="238" t="s">
        <v>19</v>
      </c>
      <c r="D117" s="83" t="s">
        <v>457</v>
      </c>
      <c r="E117" s="86" t="s">
        <v>474</v>
      </c>
      <c r="F117" s="86" t="s">
        <v>46</v>
      </c>
      <c r="G117" s="201">
        <v>44044</v>
      </c>
      <c r="H117" s="201">
        <v>44408</v>
      </c>
      <c r="I117" s="255">
        <v>44000</v>
      </c>
      <c r="J117" s="255">
        <v>14665.199999999999</v>
      </c>
    </row>
    <row r="118" spans="1:10" ht="15.75">
      <c r="A118" s="83">
        <v>509667</v>
      </c>
      <c r="B118" s="83">
        <v>209936</v>
      </c>
      <c r="C118" s="238" t="s">
        <v>19</v>
      </c>
      <c r="D118" s="83" t="s">
        <v>475</v>
      </c>
      <c r="E118" s="86" t="s">
        <v>222</v>
      </c>
      <c r="F118" s="86" t="s">
        <v>68</v>
      </c>
      <c r="G118" s="201">
        <v>44044</v>
      </c>
      <c r="H118" s="201">
        <v>44408</v>
      </c>
      <c r="I118" s="255">
        <v>100000</v>
      </c>
      <c r="J118" s="255">
        <v>33330</v>
      </c>
    </row>
    <row r="119" spans="1:10" ht="15.75">
      <c r="A119" s="83">
        <v>509703</v>
      </c>
      <c r="B119" s="83">
        <v>200483</v>
      </c>
      <c r="C119" s="238" t="s">
        <v>19</v>
      </c>
      <c r="D119" s="83" t="s">
        <v>476</v>
      </c>
      <c r="E119" s="86" t="s">
        <v>477</v>
      </c>
      <c r="F119" s="86" t="s">
        <v>68</v>
      </c>
      <c r="G119" s="201">
        <v>44044</v>
      </c>
      <c r="H119" s="201">
        <v>44408</v>
      </c>
      <c r="I119" s="255">
        <v>20000</v>
      </c>
      <c r="J119" s="255">
        <v>6666</v>
      </c>
    </row>
    <row r="120" spans="1:10" ht="15.75">
      <c r="A120" s="83">
        <v>509703</v>
      </c>
      <c r="B120" s="83">
        <v>209946</v>
      </c>
      <c r="C120" s="238" t="s">
        <v>19</v>
      </c>
      <c r="D120" s="83" t="s">
        <v>478</v>
      </c>
      <c r="E120" s="86" t="s">
        <v>479</v>
      </c>
      <c r="F120" s="86" t="s">
        <v>68</v>
      </c>
      <c r="G120" s="201">
        <v>44044</v>
      </c>
      <c r="H120" s="201">
        <v>44408</v>
      </c>
      <c r="I120" s="255">
        <v>80000</v>
      </c>
      <c r="J120" s="255">
        <v>26664</v>
      </c>
    </row>
    <row r="121" spans="1:10" ht="15.75">
      <c r="A121" s="83">
        <v>509882</v>
      </c>
      <c r="B121" s="83">
        <v>206244</v>
      </c>
      <c r="C121" s="238" t="s">
        <v>19</v>
      </c>
      <c r="D121" s="83" t="s">
        <v>480</v>
      </c>
      <c r="E121" s="86" t="s">
        <v>481</v>
      </c>
      <c r="F121" s="86" t="s">
        <v>46</v>
      </c>
      <c r="G121" s="201">
        <v>44044</v>
      </c>
      <c r="H121" s="201">
        <v>44408</v>
      </c>
      <c r="I121" s="255">
        <v>19335</v>
      </c>
      <c r="J121" s="255">
        <v>6444.3554999999997</v>
      </c>
    </row>
    <row r="122" spans="1:10" ht="15.75">
      <c r="A122" s="83">
        <v>509882</v>
      </c>
      <c r="B122" s="83">
        <v>208725</v>
      </c>
      <c r="C122" s="238" t="s">
        <v>19</v>
      </c>
      <c r="D122" s="83" t="s">
        <v>482</v>
      </c>
      <c r="E122" s="86" t="s">
        <v>483</v>
      </c>
      <c r="F122" s="86" t="s">
        <v>68</v>
      </c>
      <c r="G122" s="201">
        <v>44044</v>
      </c>
      <c r="H122" s="201">
        <v>44408</v>
      </c>
      <c r="I122" s="255">
        <v>41300</v>
      </c>
      <c r="J122" s="255">
        <v>13765.289999999999</v>
      </c>
    </row>
    <row r="123" spans="1:10" ht="15.75">
      <c r="A123" s="83">
        <v>509882</v>
      </c>
      <c r="B123" s="83">
        <v>211534</v>
      </c>
      <c r="C123" s="238" t="s">
        <v>19</v>
      </c>
      <c r="D123" s="83" t="s">
        <v>484</v>
      </c>
      <c r="E123" s="86" t="s">
        <v>485</v>
      </c>
      <c r="F123" s="86" t="s">
        <v>68</v>
      </c>
      <c r="G123" s="201">
        <v>44044</v>
      </c>
      <c r="H123" s="201">
        <v>44408</v>
      </c>
      <c r="I123" s="255">
        <v>39365</v>
      </c>
      <c r="J123" s="255">
        <v>13120.354499999999</v>
      </c>
    </row>
    <row r="124" spans="1:10" ht="15.75">
      <c r="A124" s="83">
        <v>511140</v>
      </c>
      <c r="B124" s="238">
        <v>212630</v>
      </c>
      <c r="C124" s="238" t="s">
        <v>19</v>
      </c>
      <c r="D124" s="238" t="s">
        <v>486</v>
      </c>
      <c r="E124" s="91" t="s">
        <v>487</v>
      </c>
      <c r="F124" s="91" t="s">
        <v>46</v>
      </c>
      <c r="G124" s="272">
        <v>44044</v>
      </c>
      <c r="H124" s="272">
        <v>44408</v>
      </c>
      <c r="I124" s="257">
        <v>100000</v>
      </c>
      <c r="J124" s="257">
        <v>33330</v>
      </c>
    </row>
    <row r="125" spans="1:10" ht="15.75">
      <c r="A125" s="96">
        <v>502535</v>
      </c>
      <c r="B125" s="83">
        <v>208616</v>
      </c>
      <c r="C125" s="83" t="s">
        <v>488</v>
      </c>
      <c r="D125" s="83" t="s">
        <v>437</v>
      </c>
      <c r="E125" s="238" t="s">
        <v>489</v>
      </c>
      <c r="F125" s="83" t="s">
        <v>53</v>
      </c>
      <c r="G125" s="239">
        <v>43922</v>
      </c>
      <c r="H125" s="239">
        <v>44196</v>
      </c>
      <c r="I125" s="255">
        <v>33333</v>
      </c>
      <c r="J125" s="255">
        <v>11109.8889</v>
      </c>
    </row>
    <row r="126" spans="1:10" ht="15.75">
      <c r="A126" s="96">
        <v>504320</v>
      </c>
      <c r="B126" s="83">
        <v>205554</v>
      </c>
      <c r="C126" s="83" t="s">
        <v>488</v>
      </c>
      <c r="D126" s="83" t="s">
        <v>490</v>
      </c>
      <c r="E126" s="240" t="s">
        <v>491</v>
      </c>
      <c r="F126" s="240" t="s">
        <v>46</v>
      </c>
      <c r="G126" s="239">
        <v>43221</v>
      </c>
      <c r="H126" s="239">
        <v>44286</v>
      </c>
      <c r="I126" s="256">
        <v>50000</v>
      </c>
      <c r="J126" s="255">
        <v>16665</v>
      </c>
    </row>
    <row r="127" spans="1:10" ht="15.75">
      <c r="A127" s="96">
        <v>504321</v>
      </c>
      <c r="B127" s="89">
        <v>205839</v>
      </c>
      <c r="C127" s="83" t="s">
        <v>488</v>
      </c>
      <c r="D127" s="89" t="s">
        <v>492</v>
      </c>
      <c r="E127" s="240" t="s">
        <v>493</v>
      </c>
      <c r="F127" s="240" t="s">
        <v>46</v>
      </c>
      <c r="G127" s="239">
        <v>43191</v>
      </c>
      <c r="H127" s="239">
        <v>44286</v>
      </c>
      <c r="I127" s="256">
        <v>50000</v>
      </c>
      <c r="J127" s="255">
        <v>16665</v>
      </c>
    </row>
    <row r="128" spans="1:10" ht="15.75">
      <c r="A128" s="96">
        <v>504322</v>
      </c>
      <c r="B128" s="83">
        <v>208617</v>
      </c>
      <c r="C128" s="83" t="s">
        <v>488</v>
      </c>
      <c r="D128" s="83" t="s">
        <v>469</v>
      </c>
      <c r="E128" s="240" t="s">
        <v>494</v>
      </c>
      <c r="F128" s="240" t="s">
        <v>68</v>
      </c>
      <c r="G128" s="239">
        <v>43221</v>
      </c>
      <c r="H128" s="239">
        <v>44408</v>
      </c>
      <c r="I128" s="256">
        <v>50000</v>
      </c>
      <c r="J128" s="255">
        <v>16665</v>
      </c>
    </row>
    <row r="129" spans="1:10" ht="15.75">
      <c r="A129" s="96">
        <v>505082</v>
      </c>
      <c r="B129" s="83">
        <v>212504</v>
      </c>
      <c r="C129" s="83" t="s">
        <v>488</v>
      </c>
      <c r="D129" s="83" t="s">
        <v>371</v>
      </c>
      <c r="E129" s="240" t="s">
        <v>495</v>
      </c>
      <c r="F129" s="91" t="s">
        <v>68</v>
      </c>
      <c r="G129" s="239">
        <v>43191</v>
      </c>
      <c r="H129" s="239">
        <v>44286</v>
      </c>
      <c r="I129" s="256">
        <v>50000</v>
      </c>
      <c r="J129" s="255">
        <v>16665</v>
      </c>
    </row>
    <row r="130" spans="1:10" ht="15.75">
      <c r="A130" s="96">
        <v>506448</v>
      </c>
      <c r="B130" s="238">
        <v>208217</v>
      </c>
      <c r="C130" s="83" t="s">
        <v>488</v>
      </c>
      <c r="D130" s="238" t="s">
        <v>496</v>
      </c>
      <c r="E130" s="240" t="s">
        <v>497</v>
      </c>
      <c r="F130" s="240" t="s">
        <v>46</v>
      </c>
      <c r="G130" s="239">
        <v>43556</v>
      </c>
      <c r="H130" s="239">
        <v>44286</v>
      </c>
      <c r="I130" s="256">
        <v>50000</v>
      </c>
      <c r="J130" s="255">
        <v>16665</v>
      </c>
    </row>
    <row r="131" spans="1:10" ht="15.75">
      <c r="A131" s="96">
        <v>506449</v>
      </c>
      <c r="B131" s="238">
        <v>203820</v>
      </c>
      <c r="C131" s="83" t="s">
        <v>488</v>
      </c>
      <c r="D131" s="238" t="s">
        <v>369</v>
      </c>
      <c r="E131" s="240" t="s">
        <v>498</v>
      </c>
      <c r="F131" s="240" t="s">
        <v>46</v>
      </c>
      <c r="G131" s="239">
        <v>43556</v>
      </c>
      <c r="H131" s="239">
        <v>44286</v>
      </c>
      <c r="I131" s="256">
        <v>50000</v>
      </c>
      <c r="J131" s="255">
        <v>16665</v>
      </c>
    </row>
    <row r="132" spans="1:10" ht="15.75">
      <c r="A132" s="96">
        <v>506450</v>
      </c>
      <c r="B132" s="238">
        <v>208620</v>
      </c>
      <c r="C132" s="83" t="s">
        <v>488</v>
      </c>
      <c r="D132" s="238" t="s">
        <v>499</v>
      </c>
      <c r="E132" s="240" t="s">
        <v>500</v>
      </c>
      <c r="F132" s="240" t="s">
        <v>82</v>
      </c>
      <c r="G132" s="239">
        <v>43556</v>
      </c>
      <c r="H132" s="239">
        <v>44651</v>
      </c>
      <c r="I132" s="256">
        <v>50000</v>
      </c>
      <c r="J132" s="255">
        <v>16665</v>
      </c>
    </row>
    <row r="133" spans="1:10" ht="15.75">
      <c r="A133" s="96">
        <v>506451</v>
      </c>
      <c r="B133" s="238">
        <v>207233</v>
      </c>
      <c r="C133" s="83" t="s">
        <v>488</v>
      </c>
      <c r="D133" s="238" t="s">
        <v>373</v>
      </c>
      <c r="E133" s="240" t="s">
        <v>501</v>
      </c>
      <c r="F133" s="240" t="s">
        <v>46</v>
      </c>
      <c r="G133" s="239">
        <v>43556</v>
      </c>
      <c r="H133" s="239">
        <v>44651</v>
      </c>
      <c r="I133" s="256">
        <v>50000</v>
      </c>
      <c r="J133" s="255">
        <v>16665</v>
      </c>
    </row>
    <row r="134" spans="1:10" ht="15.75">
      <c r="A134" s="83">
        <v>509284</v>
      </c>
      <c r="B134" s="83">
        <v>206595</v>
      </c>
      <c r="C134" s="83" t="s">
        <v>488</v>
      </c>
      <c r="D134" s="83" t="s">
        <v>368</v>
      </c>
      <c r="E134" s="86" t="s">
        <v>502</v>
      </c>
      <c r="F134" s="86" t="s">
        <v>46</v>
      </c>
      <c r="G134" s="266">
        <v>44013</v>
      </c>
      <c r="H134" s="266">
        <v>44377</v>
      </c>
      <c r="I134" s="255">
        <v>75000</v>
      </c>
      <c r="J134" s="255">
        <v>24997.5</v>
      </c>
    </row>
    <row r="135" spans="1:10" ht="15.75">
      <c r="A135" s="83">
        <v>509285</v>
      </c>
      <c r="B135" s="83">
        <v>209801</v>
      </c>
      <c r="C135" s="83" t="s">
        <v>488</v>
      </c>
      <c r="D135" s="83" t="s">
        <v>503</v>
      </c>
      <c r="E135" s="86" t="s">
        <v>504</v>
      </c>
      <c r="F135" s="86" t="s">
        <v>68</v>
      </c>
      <c r="G135" s="266">
        <v>44013</v>
      </c>
      <c r="H135" s="266">
        <v>44377</v>
      </c>
      <c r="I135" s="255">
        <v>75000</v>
      </c>
      <c r="J135" s="255">
        <v>24997.5</v>
      </c>
    </row>
    <row r="136" spans="1:10" ht="15.75">
      <c r="A136" s="83">
        <v>509588</v>
      </c>
      <c r="B136" s="238">
        <v>208607</v>
      </c>
      <c r="C136" s="83" t="s">
        <v>488</v>
      </c>
      <c r="D136" s="238" t="s">
        <v>391</v>
      </c>
      <c r="E136" s="86" t="s">
        <v>505</v>
      </c>
      <c r="F136" s="86" t="s">
        <v>53</v>
      </c>
      <c r="G136" s="266">
        <v>44013</v>
      </c>
      <c r="H136" s="266">
        <v>44377</v>
      </c>
      <c r="I136" s="255">
        <v>75000</v>
      </c>
      <c r="J136" s="255">
        <v>24997.5</v>
      </c>
    </row>
    <row r="137" spans="1:10" ht="15.75">
      <c r="A137" s="83">
        <v>509588</v>
      </c>
      <c r="B137" s="238">
        <v>208607</v>
      </c>
      <c r="C137" s="83" t="s">
        <v>488</v>
      </c>
      <c r="D137" s="238" t="s">
        <v>391</v>
      </c>
      <c r="E137" s="91" t="s">
        <v>506</v>
      </c>
      <c r="F137" s="91" t="s">
        <v>53</v>
      </c>
      <c r="G137" s="272">
        <v>44013</v>
      </c>
      <c r="H137" s="272">
        <v>44298</v>
      </c>
      <c r="I137" s="257">
        <v>-10024.83</v>
      </c>
      <c r="J137" s="257">
        <v>-3341.2758389999999</v>
      </c>
    </row>
    <row r="138" spans="1:10" ht="15.75">
      <c r="A138" s="83">
        <v>509589</v>
      </c>
      <c r="B138" s="83">
        <v>212183</v>
      </c>
      <c r="C138" s="83" t="s">
        <v>488</v>
      </c>
      <c r="D138" s="83" t="s">
        <v>464</v>
      </c>
      <c r="E138" s="86" t="s">
        <v>507</v>
      </c>
      <c r="F138" s="86" t="s">
        <v>68</v>
      </c>
      <c r="G138" s="266">
        <v>44075</v>
      </c>
      <c r="H138" s="266">
        <v>44438</v>
      </c>
      <c r="I138" s="255">
        <v>75000</v>
      </c>
      <c r="J138" s="255">
        <v>24997.5</v>
      </c>
    </row>
    <row r="139" spans="1:10" ht="15.75">
      <c r="A139" s="83">
        <v>511799</v>
      </c>
      <c r="B139" s="238">
        <v>211377</v>
      </c>
      <c r="C139" s="238" t="s">
        <v>10</v>
      </c>
      <c r="D139" s="238" t="s">
        <v>413</v>
      </c>
      <c r="E139" s="91" t="s">
        <v>56</v>
      </c>
      <c r="F139" s="91" t="s">
        <v>53</v>
      </c>
      <c r="G139" s="272">
        <v>44013</v>
      </c>
      <c r="H139" s="272">
        <v>44377</v>
      </c>
      <c r="I139" s="257">
        <v>150000</v>
      </c>
      <c r="J139" s="257">
        <v>49995</v>
      </c>
    </row>
    <row r="140" spans="1:10" ht="15.75">
      <c r="A140" s="83">
        <v>512403</v>
      </c>
      <c r="B140" s="238">
        <v>208807</v>
      </c>
      <c r="C140" s="238" t="s">
        <v>10</v>
      </c>
      <c r="D140" s="238" t="s">
        <v>508</v>
      </c>
      <c r="E140" s="91" t="s">
        <v>509</v>
      </c>
      <c r="F140" s="91" t="s">
        <v>68</v>
      </c>
      <c r="G140" s="272">
        <v>44013</v>
      </c>
      <c r="H140" s="272">
        <v>44742</v>
      </c>
      <c r="I140" s="257">
        <v>150000</v>
      </c>
      <c r="J140" s="257">
        <v>49995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F4E46-1148-410F-B62D-8845EEBDE941}">
  <sheetPr>
    <tabColor rgb="FFFF0000"/>
  </sheetPr>
  <dimension ref="A1:M140"/>
  <sheetViews>
    <sheetView topLeftCell="D87" workbookViewId="0">
      <selection activeCell="E11" sqref="E11"/>
    </sheetView>
  </sheetViews>
  <sheetFormatPr defaultColWidth="8.7109375" defaultRowHeight="15"/>
  <cols>
    <col min="1" max="1" width="17.5703125" bestFit="1" customWidth="1"/>
    <col min="2" max="2" width="13.140625" customWidth="1"/>
    <col min="3" max="3" width="17" bestFit="1" customWidth="1"/>
    <col min="4" max="4" width="13.140625" customWidth="1"/>
    <col min="5" max="6" width="16.5703125" customWidth="1"/>
    <col min="7" max="7" width="24.85546875" bestFit="1" customWidth="1"/>
    <col min="8" max="8" width="36.28515625" bestFit="1" customWidth="1"/>
    <col min="9" max="9" width="9.85546875" customWidth="1"/>
    <col min="10" max="11" width="11.5703125" bestFit="1" customWidth="1"/>
    <col min="12" max="13" width="13.85546875" bestFit="1" customWidth="1"/>
  </cols>
  <sheetData>
    <row r="1" spans="1:13" ht="16.5" thickBot="1">
      <c r="A1" s="251" t="s">
        <v>339</v>
      </c>
      <c r="B1" s="245" t="s">
        <v>340</v>
      </c>
      <c r="C1" s="252" t="s">
        <v>510</v>
      </c>
      <c r="D1" s="252" t="s">
        <v>511</v>
      </c>
      <c r="E1" s="252" t="s">
        <v>512</v>
      </c>
      <c r="F1" s="248" t="s">
        <v>36</v>
      </c>
      <c r="G1" s="248" t="s">
        <v>37</v>
      </c>
      <c r="H1" s="249" t="s">
        <v>38</v>
      </c>
      <c r="I1" s="249" t="s">
        <v>39</v>
      </c>
      <c r="J1" s="249" t="s">
        <v>40</v>
      </c>
      <c r="K1" s="249" t="s">
        <v>41</v>
      </c>
      <c r="L1" s="249" t="s">
        <v>42</v>
      </c>
      <c r="M1" s="250" t="s">
        <v>43</v>
      </c>
    </row>
    <row r="2" spans="1:13" ht="16.5" thickTop="1">
      <c r="A2" s="83">
        <v>499942</v>
      </c>
      <c r="B2" s="238">
        <v>107525</v>
      </c>
      <c r="C2" s="238" t="str">
        <f>Table7[[#This Row],[Fund Number]]&amp;","&amp;Table7[[#This Row],[FC Number]]</f>
        <v>499942,107525</v>
      </c>
      <c r="D2" s="238"/>
      <c r="E2" s="238" t="s">
        <v>513</v>
      </c>
      <c r="F2" s="238" t="s">
        <v>6</v>
      </c>
      <c r="G2" s="238" t="s">
        <v>44</v>
      </c>
      <c r="H2" s="238" t="s">
        <v>344</v>
      </c>
      <c r="I2" s="91" t="s">
        <v>46</v>
      </c>
      <c r="K2" s="260"/>
      <c r="L2" s="257">
        <v>500000</v>
      </c>
      <c r="M2" s="255">
        <v>166650</v>
      </c>
    </row>
    <row r="3" spans="1:13" ht="15.75">
      <c r="A3" s="83">
        <v>500737</v>
      </c>
      <c r="B3" s="238">
        <v>107525</v>
      </c>
      <c r="C3" s="238" t="str">
        <f>Table7[[#This Row],[Fund Number]]&amp;","&amp;Table7[[#This Row],[FC Number]]</f>
        <v>500737,107525</v>
      </c>
      <c r="D3" s="238"/>
      <c r="E3" s="238" t="s">
        <v>514</v>
      </c>
      <c r="F3" s="238" t="s">
        <v>6</v>
      </c>
      <c r="G3" s="238" t="s">
        <v>44</v>
      </c>
      <c r="H3" s="258" t="s">
        <v>345</v>
      </c>
      <c r="I3" s="91" t="s">
        <v>46</v>
      </c>
      <c r="J3" s="272">
        <v>42248</v>
      </c>
      <c r="K3" s="272">
        <v>44651</v>
      </c>
      <c r="L3" s="257">
        <v>200000</v>
      </c>
      <c r="M3" s="257">
        <v>66660</v>
      </c>
    </row>
    <row r="4" spans="1:13" ht="15.75">
      <c r="A4" s="83">
        <v>501333</v>
      </c>
      <c r="B4" s="238">
        <v>207444</v>
      </c>
      <c r="C4" s="238" t="str">
        <f>Table7[[#This Row],[Fund Number]]&amp;","&amp;Table7[[#This Row],[FC Number]]</f>
        <v>501333,207444</v>
      </c>
      <c r="D4" s="238"/>
      <c r="E4" s="238" t="s">
        <v>515</v>
      </c>
      <c r="F4" s="238" t="s">
        <v>347</v>
      </c>
      <c r="G4" s="238" t="s">
        <v>348</v>
      </c>
      <c r="H4" s="91" t="s">
        <v>349</v>
      </c>
      <c r="I4" s="91" t="s">
        <v>46</v>
      </c>
      <c r="J4" s="272">
        <v>42614</v>
      </c>
      <c r="K4" s="272">
        <v>44090</v>
      </c>
      <c r="L4" s="257">
        <v>-169.84</v>
      </c>
      <c r="M4" s="257">
        <v>-56.607672000000001</v>
      </c>
    </row>
    <row r="5" spans="1:13" ht="15.75">
      <c r="A5" s="83">
        <v>501337</v>
      </c>
      <c r="B5" s="238">
        <v>208379</v>
      </c>
      <c r="C5" s="238" t="str">
        <f>Table7[[#This Row],[Fund Number]]&amp;","&amp;Table7[[#This Row],[FC Number]]</f>
        <v>501337,208379</v>
      </c>
      <c r="D5" s="238" t="s">
        <v>516</v>
      </c>
      <c r="E5" s="238" t="s">
        <v>515</v>
      </c>
      <c r="F5" s="238" t="s">
        <v>347</v>
      </c>
      <c r="G5" s="238" t="s">
        <v>350</v>
      </c>
      <c r="H5" s="91" t="s">
        <v>351</v>
      </c>
      <c r="I5" s="91" t="s">
        <v>46</v>
      </c>
      <c r="J5" s="272">
        <v>42614</v>
      </c>
      <c r="K5" s="272">
        <v>44106</v>
      </c>
      <c r="L5" s="257">
        <v>-47.3</v>
      </c>
      <c r="M5" s="257">
        <v>-15.765089999999999</v>
      </c>
    </row>
    <row r="6" spans="1:13" ht="15.75">
      <c r="A6" s="83">
        <v>501337</v>
      </c>
      <c r="B6" s="238">
        <v>208379</v>
      </c>
      <c r="C6" s="238" t="str">
        <f>Table7[[#This Row],[Fund Number]]&amp;","&amp;Table7[[#This Row],[FC Number]]</f>
        <v>501337,208379</v>
      </c>
      <c r="D6" s="238"/>
      <c r="E6" s="238" t="s">
        <v>515</v>
      </c>
      <c r="F6" s="238" t="s">
        <v>347</v>
      </c>
      <c r="G6" s="238" t="s">
        <v>350</v>
      </c>
      <c r="H6" s="91" t="s">
        <v>351</v>
      </c>
      <c r="I6" s="91" t="s">
        <v>46</v>
      </c>
      <c r="J6" s="272">
        <v>42614</v>
      </c>
      <c r="K6" s="272">
        <v>44106</v>
      </c>
      <c r="L6" s="257">
        <v>-70.84</v>
      </c>
      <c r="M6" s="257">
        <v>-23.610972</v>
      </c>
    </row>
    <row r="7" spans="1:13" ht="15.75">
      <c r="A7" s="83">
        <v>501339</v>
      </c>
      <c r="B7" s="238">
        <v>208379</v>
      </c>
      <c r="C7" s="238" t="str">
        <f>Table7[[#This Row],[Fund Number]]&amp;","&amp;Table7[[#This Row],[FC Number]]</f>
        <v>501339,208379</v>
      </c>
      <c r="D7" s="238" t="s">
        <v>516</v>
      </c>
      <c r="E7" s="238" t="s">
        <v>515</v>
      </c>
      <c r="F7" s="238" t="s">
        <v>347</v>
      </c>
      <c r="G7" s="238" t="s">
        <v>350</v>
      </c>
      <c r="H7" s="91" t="s">
        <v>352</v>
      </c>
      <c r="I7" s="91" t="s">
        <v>46</v>
      </c>
      <c r="J7" s="272">
        <v>42614</v>
      </c>
      <c r="K7" s="272">
        <v>44106</v>
      </c>
      <c r="L7" s="257">
        <v>-4.21</v>
      </c>
      <c r="M7" s="257">
        <v>-1.4031929999999999</v>
      </c>
    </row>
    <row r="8" spans="1:13" ht="15.75">
      <c r="A8" s="83">
        <v>501339</v>
      </c>
      <c r="B8" s="238">
        <v>208379</v>
      </c>
      <c r="C8" s="238" t="str">
        <f>Table7[[#This Row],[Fund Number]]&amp;","&amp;Table7[[#This Row],[FC Number]]</f>
        <v>501339,208379</v>
      </c>
      <c r="D8" s="238"/>
      <c r="E8" s="238" t="s">
        <v>515</v>
      </c>
      <c r="F8" s="238" t="s">
        <v>347</v>
      </c>
      <c r="G8" s="238" t="s">
        <v>350</v>
      </c>
      <c r="H8" s="91" t="s">
        <v>352</v>
      </c>
      <c r="I8" s="91" t="s">
        <v>46</v>
      </c>
      <c r="J8" s="272">
        <v>42614</v>
      </c>
      <c r="K8" s="272">
        <v>44117</v>
      </c>
      <c r="L8" s="257">
        <v>-338.46</v>
      </c>
      <c r="M8" s="257">
        <v>-112.80871799999998</v>
      </c>
    </row>
    <row r="9" spans="1:13" ht="15.75">
      <c r="A9" s="96">
        <v>502535</v>
      </c>
      <c r="B9" s="83">
        <v>208616</v>
      </c>
      <c r="C9" s="83" t="str">
        <f>Table7[[#This Row],[Fund Number]]&amp;","&amp;Table7[[#This Row],[FC Number]]</f>
        <v>502535,208616</v>
      </c>
      <c r="D9" s="83"/>
      <c r="E9" s="83" t="s">
        <v>517</v>
      </c>
      <c r="F9" s="83" t="s">
        <v>488</v>
      </c>
      <c r="G9" s="83" t="s">
        <v>437</v>
      </c>
      <c r="H9" s="238" t="s">
        <v>489</v>
      </c>
      <c r="I9" s="83" t="s">
        <v>53</v>
      </c>
      <c r="J9" s="239">
        <v>43922</v>
      </c>
      <c r="K9" s="239">
        <v>44196</v>
      </c>
      <c r="L9" s="255">
        <v>33333</v>
      </c>
      <c r="M9" s="255">
        <v>11109.8889</v>
      </c>
    </row>
    <row r="10" spans="1:13" ht="15.75">
      <c r="A10" s="96">
        <v>504320</v>
      </c>
      <c r="B10" s="83">
        <v>205554</v>
      </c>
      <c r="C10" s="83" t="str">
        <f>Table7[[#This Row],[Fund Number]]&amp;","&amp;Table7[[#This Row],[FC Number]]</f>
        <v>504320,205554</v>
      </c>
      <c r="D10" s="83"/>
      <c r="E10" s="83" t="s">
        <v>517</v>
      </c>
      <c r="F10" s="83" t="s">
        <v>488</v>
      </c>
      <c r="G10" s="83" t="s">
        <v>490</v>
      </c>
      <c r="H10" s="240" t="s">
        <v>491</v>
      </c>
      <c r="I10" s="240" t="s">
        <v>46</v>
      </c>
      <c r="J10" s="239">
        <v>43221</v>
      </c>
      <c r="K10" s="239">
        <v>44286</v>
      </c>
      <c r="L10" s="256">
        <v>50000</v>
      </c>
      <c r="M10" s="255">
        <v>16665</v>
      </c>
    </row>
    <row r="11" spans="1:13" ht="15.75">
      <c r="A11" s="96">
        <v>504321</v>
      </c>
      <c r="B11" s="89">
        <v>205839</v>
      </c>
      <c r="C11" s="89" t="str">
        <f>Table7[[#This Row],[Fund Number]]&amp;","&amp;Table7[[#This Row],[FC Number]]</f>
        <v>504321,205839</v>
      </c>
      <c r="D11" s="89"/>
      <c r="E11" s="89" t="s">
        <v>517</v>
      </c>
      <c r="F11" s="83" t="s">
        <v>488</v>
      </c>
      <c r="G11" s="89" t="s">
        <v>492</v>
      </c>
      <c r="H11" s="240" t="s">
        <v>493</v>
      </c>
      <c r="I11" s="240" t="s">
        <v>46</v>
      </c>
      <c r="J11" s="239">
        <v>43191</v>
      </c>
      <c r="K11" s="239">
        <v>44286</v>
      </c>
      <c r="L11" s="256">
        <v>50000</v>
      </c>
      <c r="M11" s="255">
        <v>16665</v>
      </c>
    </row>
    <row r="12" spans="1:13" ht="15.75">
      <c r="A12" s="96">
        <v>504322</v>
      </c>
      <c r="B12" s="83">
        <v>208617</v>
      </c>
      <c r="C12" s="83" t="str">
        <f>Table7[[#This Row],[Fund Number]]&amp;","&amp;Table7[[#This Row],[FC Number]]</f>
        <v>504322,208617</v>
      </c>
      <c r="D12" s="83"/>
      <c r="E12" s="83" t="s">
        <v>517</v>
      </c>
      <c r="F12" s="83" t="s">
        <v>488</v>
      </c>
      <c r="G12" s="83" t="s">
        <v>469</v>
      </c>
      <c r="H12" s="240" t="s">
        <v>494</v>
      </c>
      <c r="I12" s="240" t="s">
        <v>68</v>
      </c>
      <c r="J12" s="239">
        <v>43221</v>
      </c>
      <c r="K12" s="239">
        <v>44408</v>
      </c>
      <c r="L12" s="256">
        <v>50000</v>
      </c>
      <c r="M12" s="255">
        <v>16665</v>
      </c>
    </row>
    <row r="13" spans="1:13" ht="15.75">
      <c r="A13" s="96">
        <v>504839</v>
      </c>
      <c r="B13" s="90">
        <v>209210</v>
      </c>
      <c r="C13" s="90" t="str">
        <f>Table7[[#This Row],[Fund Number]]&amp;","&amp;Table7[[#This Row],[FC Number]]</f>
        <v>504839,209210</v>
      </c>
      <c r="D13" s="90"/>
      <c r="E13" s="90" t="s">
        <v>518</v>
      </c>
      <c r="F13" s="90" t="s">
        <v>8</v>
      </c>
      <c r="G13" s="90" t="s">
        <v>375</v>
      </c>
      <c r="H13" s="240" t="s">
        <v>446</v>
      </c>
      <c r="I13" s="91" t="s">
        <v>68</v>
      </c>
      <c r="J13" s="239">
        <v>43191</v>
      </c>
      <c r="K13" s="239">
        <v>44165</v>
      </c>
      <c r="L13" s="256">
        <v>87240</v>
      </c>
      <c r="M13" s="255">
        <v>29077.091999999997</v>
      </c>
    </row>
    <row r="14" spans="1:13" ht="15.75">
      <c r="A14" s="96">
        <v>504875</v>
      </c>
      <c r="B14" s="90">
        <v>209210</v>
      </c>
      <c r="C14" s="90" t="str">
        <f>Table7[[#This Row],[Fund Number]]&amp;","&amp;Table7[[#This Row],[FC Number]]</f>
        <v>504875,209210</v>
      </c>
      <c r="D14" s="90"/>
      <c r="E14" s="90" t="s">
        <v>518</v>
      </c>
      <c r="F14" s="90" t="s">
        <v>8</v>
      </c>
      <c r="G14" s="90" t="s">
        <v>375</v>
      </c>
      <c r="H14" s="240" t="s">
        <v>446</v>
      </c>
      <c r="I14" s="91" t="s">
        <v>68</v>
      </c>
      <c r="J14" s="239">
        <v>43191</v>
      </c>
      <c r="K14" s="239">
        <v>44165</v>
      </c>
      <c r="L14" s="256">
        <v>47500</v>
      </c>
      <c r="M14" s="255">
        <v>15831.75</v>
      </c>
    </row>
    <row r="15" spans="1:13" ht="15.75">
      <c r="A15" s="96">
        <v>505082</v>
      </c>
      <c r="B15" s="83">
        <v>212504</v>
      </c>
      <c r="C15" s="83" t="str">
        <f>Table7[[#This Row],[Fund Number]]&amp;","&amp;Table7[[#This Row],[FC Number]]</f>
        <v>505082,212504</v>
      </c>
      <c r="D15" s="83"/>
      <c r="E15" s="83" t="s">
        <v>517</v>
      </c>
      <c r="F15" s="83" t="s">
        <v>488</v>
      </c>
      <c r="G15" s="83" t="s">
        <v>371</v>
      </c>
      <c r="H15" s="240" t="s">
        <v>495</v>
      </c>
      <c r="I15" s="91" t="s">
        <v>68</v>
      </c>
      <c r="J15" s="239">
        <v>43191</v>
      </c>
      <c r="K15" s="239">
        <v>44286</v>
      </c>
      <c r="L15" s="256">
        <v>50000</v>
      </c>
      <c r="M15" s="255">
        <v>16665</v>
      </c>
    </row>
    <row r="16" spans="1:13" ht="15.75">
      <c r="A16" s="96">
        <v>505362</v>
      </c>
      <c r="B16" s="238">
        <v>209346</v>
      </c>
      <c r="C16" s="238" t="str">
        <f>Table7[[#This Row],[Fund Number]]&amp;","&amp;Table7[[#This Row],[FC Number]]</f>
        <v>505362,209346</v>
      </c>
      <c r="D16" s="238"/>
      <c r="E16" s="238" t="s">
        <v>518</v>
      </c>
      <c r="F16" s="90" t="s">
        <v>8</v>
      </c>
      <c r="G16" s="238" t="s">
        <v>442</v>
      </c>
      <c r="H16" s="240" t="s">
        <v>447</v>
      </c>
      <c r="I16" s="91" t="s">
        <v>53</v>
      </c>
      <c r="J16" s="239">
        <v>43282</v>
      </c>
      <c r="K16" s="239">
        <v>44377</v>
      </c>
      <c r="L16" s="256">
        <v>150000</v>
      </c>
      <c r="M16" s="255">
        <v>49995</v>
      </c>
    </row>
    <row r="17" spans="1:13" ht="15.75">
      <c r="A17" s="96">
        <v>505749</v>
      </c>
      <c r="B17" s="238">
        <v>209403</v>
      </c>
      <c r="C17" s="238" t="str">
        <f>Table7[[#This Row],[Fund Number]]&amp;","&amp;Table7[[#This Row],[FC Number]]</f>
        <v>505749,209403</v>
      </c>
      <c r="D17" s="238"/>
      <c r="E17" s="238" t="s">
        <v>518</v>
      </c>
      <c r="F17" s="90" t="s">
        <v>8</v>
      </c>
      <c r="G17" s="238" t="s">
        <v>448</v>
      </c>
      <c r="H17" s="240" t="s">
        <v>449</v>
      </c>
      <c r="I17" s="91" t="s">
        <v>53</v>
      </c>
      <c r="J17" s="239">
        <v>43313</v>
      </c>
      <c r="K17" s="239">
        <v>44043</v>
      </c>
      <c r="L17" s="256">
        <v>62500</v>
      </c>
      <c r="M17" s="255">
        <v>20831.25</v>
      </c>
    </row>
    <row r="18" spans="1:13" ht="15.75">
      <c r="A18" s="96">
        <v>506448</v>
      </c>
      <c r="B18" s="238">
        <v>208217</v>
      </c>
      <c r="C18" s="238" t="str">
        <f>Table7[[#This Row],[Fund Number]]&amp;","&amp;Table7[[#This Row],[FC Number]]</f>
        <v>506448,208217</v>
      </c>
      <c r="D18" s="238"/>
      <c r="E18" s="238" t="s">
        <v>517</v>
      </c>
      <c r="F18" s="83" t="s">
        <v>488</v>
      </c>
      <c r="G18" s="238" t="s">
        <v>496</v>
      </c>
      <c r="H18" s="240" t="s">
        <v>497</v>
      </c>
      <c r="I18" s="240" t="s">
        <v>46</v>
      </c>
      <c r="J18" s="239">
        <v>43556</v>
      </c>
      <c r="K18" s="239">
        <v>44286</v>
      </c>
      <c r="L18" s="256">
        <v>50000</v>
      </c>
      <c r="M18" s="255">
        <v>16665</v>
      </c>
    </row>
    <row r="19" spans="1:13" ht="15.75">
      <c r="A19" s="96">
        <v>506449</v>
      </c>
      <c r="B19" s="238">
        <v>203820</v>
      </c>
      <c r="C19" s="238" t="str">
        <f>Table7[[#This Row],[Fund Number]]&amp;","&amp;Table7[[#This Row],[FC Number]]</f>
        <v>506449,203820</v>
      </c>
      <c r="D19" s="238"/>
      <c r="E19" s="238" t="s">
        <v>517</v>
      </c>
      <c r="F19" s="83" t="s">
        <v>488</v>
      </c>
      <c r="G19" s="238" t="s">
        <v>369</v>
      </c>
      <c r="H19" s="240" t="s">
        <v>498</v>
      </c>
      <c r="I19" s="240" t="s">
        <v>46</v>
      </c>
      <c r="J19" s="239">
        <v>43556</v>
      </c>
      <c r="K19" s="239">
        <v>44286</v>
      </c>
      <c r="L19" s="256">
        <v>50000</v>
      </c>
      <c r="M19" s="255">
        <v>16665</v>
      </c>
    </row>
    <row r="20" spans="1:13" ht="15.75">
      <c r="A20" s="96">
        <v>506450</v>
      </c>
      <c r="B20" s="238">
        <v>208620</v>
      </c>
      <c r="C20" s="238" t="str">
        <f>Table7[[#This Row],[Fund Number]]&amp;","&amp;Table7[[#This Row],[FC Number]]</f>
        <v>506450,208620</v>
      </c>
      <c r="D20" s="238"/>
      <c r="E20" s="238" t="s">
        <v>517</v>
      </c>
      <c r="F20" s="83" t="s">
        <v>488</v>
      </c>
      <c r="G20" s="238" t="s">
        <v>499</v>
      </c>
      <c r="H20" s="240" t="s">
        <v>500</v>
      </c>
      <c r="I20" s="240" t="s">
        <v>82</v>
      </c>
      <c r="J20" s="239">
        <v>43556</v>
      </c>
      <c r="K20" s="239">
        <v>44651</v>
      </c>
      <c r="L20" s="256">
        <v>50000</v>
      </c>
      <c r="M20" s="255">
        <v>16665</v>
      </c>
    </row>
    <row r="21" spans="1:13" ht="15.75">
      <c r="A21" s="96">
        <v>506451</v>
      </c>
      <c r="B21" s="238">
        <v>207233</v>
      </c>
      <c r="C21" s="238" t="str">
        <f>Table7[[#This Row],[Fund Number]]&amp;","&amp;Table7[[#This Row],[FC Number]]</f>
        <v>506451,207233</v>
      </c>
      <c r="D21" s="238"/>
      <c r="E21" s="238" t="s">
        <v>517</v>
      </c>
      <c r="F21" s="83" t="s">
        <v>488</v>
      </c>
      <c r="G21" s="238" t="s">
        <v>373</v>
      </c>
      <c r="H21" s="240" t="s">
        <v>501</v>
      </c>
      <c r="I21" s="240" t="s">
        <v>46</v>
      </c>
      <c r="J21" s="239">
        <v>43556</v>
      </c>
      <c r="K21" s="239">
        <v>44651</v>
      </c>
      <c r="L21" s="256">
        <v>50000</v>
      </c>
      <c r="M21" s="255">
        <v>16665</v>
      </c>
    </row>
    <row r="22" spans="1:13" ht="15.75">
      <c r="A22" s="83">
        <v>506456</v>
      </c>
      <c r="B22" s="238">
        <v>207032</v>
      </c>
      <c r="C22" s="238" t="str">
        <f>Table7[[#This Row],[Fund Number]]&amp;","&amp;Table7[[#This Row],[FC Number]]</f>
        <v>506456,207032</v>
      </c>
      <c r="D22" s="238"/>
      <c r="E22" s="238" t="s">
        <v>19</v>
      </c>
      <c r="F22" s="238" t="s">
        <v>19</v>
      </c>
      <c r="G22" s="238" t="s">
        <v>455</v>
      </c>
      <c r="H22" s="91" t="s">
        <v>456</v>
      </c>
      <c r="I22" s="91" t="s">
        <v>46</v>
      </c>
      <c r="J22" s="272">
        <v>43556</v>
      </c>
      <c r="K22" s="272">
        <v>44561</v>
      </c>
      <c r="L22" s="257">
        <v>50000</v>
      </c>
      <c r="M22" s="257">
        <v>16665</v>
      </c>
    </row>
    <row r="23" spans="1:13" ht="15.75">
      <c r="A23" s="83">
        <v>506456</v>
      </c>
      <c r="B23" s="238">
        <v>209438</v>
      </c>
      <c r="C23" s="238" t="str">
        <f>Table7[[#This Row],[Fund Number]]&amp;","&amp;Table7[[#This Row],[FC Number]]</f>
        <v>506456,209438</v>
      </c>
      <c r="D23" s="238"/>
      <c r="E23" s="238" t="s">
        <v>19</v>
      </c>
      <c r="F23" s="238" t="s">
        <v>19</v>
      </c>
      <c r="G23" s="238" t="s">
        <v>457</v>
      </c>
      <c r="H23" s="91" t="s">
        <v>458</v>
      </c>
      <c r="I23" s="91" t="s">
        <v>46</v>
      </c>
      <c r="J23" s="272">
        <v>43556</v>
      </c>
      <c r="K23" s="272">
        <v>44561</v>
      </c>
      <c r="L23" s="257">
        <v>50000</v>
      </c>
      <c r="M23" s="257">
        <v>16665</v>
      </c>
    </row>
    <row r="24" spans="1:13" ht="15.75">
      <c r="A24" s="242">
        <v>506457</v>
      </c>
      <c r="B24" s="242">
        <v>208406</v>
      </c>
      <c r="C24" s="242" t="str">
        <f>Table7[[#This Row],[Fund Number]]&amp;","&amp;Table7[[#This Row],[FC Number]]</f>
        <v>506457,208406</v>
      </c>
      <c r="D24" s="242"/>
      <c r="E24" s="242" t="s">
        <v>19</v>
      </c>
      <c r="F24" s="238" t="s">
        <v>19</v>
      </c>
      <c r="G24" s="242" t="s">
        <v>459</v>
      </c>
      <c r="H24" s="240" t="s">
        <v>460</v>
      </c>
      <c r="I24" s="91" t="s">
        <v>68</v>
      </c>
      <c r="J24" s="239">
        <v>43556</v>
      </c>
      <c r="K24" s="239">
        <v>44286</v>
      </c>
      <c r="L24" s="256">
        <v>25000</v>
      </c>
      <c r="M24" s="255">
        <v>8332.5</v>
      </c>
    </row>
    <row r="25" spans="1:13" ht="15.75">
      <c r="A25" s="242">
        <v>506457</v>
      </c>
      <c r="B25" s="242">
        <v>212361</v>
      </c>
      <c r="C25" s="242" t="str">
        <f>Table7[[#This Row],[Fund Number]]&amp;","&amp;Table7[[#This Row],[FC Number]]</f>
        <v>506457,212361</v>
      </c>
      <c r="D25" s="242"/>
      <c r="E25" s="242" t="s">
        <v>19</v>
      </c>
      <c r="F25" s="238" t="s">
        <v>19</v>
      </c>
      <c r="G25" s="242" t="s">
        <v>379</v>
      </c>
      <c r="H25" s="240" t="s">
        <v>461</v>
      </c>
      <c r="I25" s="91" t="s">
        <v>46</v>
      </c>
      <c r="J25" s="239">
        <v>43556</v>
      </c>
      <c r="K25" s="239">
        <v>44286</v>
      </c>
      <c r="L25" s="256">
        <v>75000</v>
      </c>
      <c r="M25" s="255">
        <v>24997.5</v>
      </c>
    </row>
    <row r="26" spans="1:13" ht="15.75">
      <c r="A26" s="242">
        <v>506458</v>
      </c>
      <c r="B26" s="83">
        <v>205547</v>
      </c>
      <c r="C26" s="83" t="str">
        <f>Table7[[#This Row],[Fund Number]]&amp;","&amp;Table7[[#This Row],[FC Number]]</f>
        <v>506458,205547</v>
      </c>
      <c r="D26" s="83"/>
      <c r="E26" s="83" t="s">
        <v>19</v>
      </c>
      <c r="F26" s="238" t="s">
        <v>19</v>
      </c>
      <c r="G26" s="83" t="s">
        <v>462</v>
      </c>
      <c r="H26" s="240" t="s">
        <v>463</v>
      </c>
      <c r="I26" s="91" t="s">
        <v>46</v>
      </c>
      <c r="J26" s="239">
        <v>43923</v>
      </c>
      <c r="K26" s="239">
        <v>44286</v>
      </c>
      <c r="L26" s="256">
        <v>26980</v>
      </c>
      <c r="M26" s="255">
        <v>8992.4339999999993</v>
      </c>
    </row>
    <row r="27" spans="1:13" ht="15.75">
      <c r="A27" s="242">
        <v>506458</v>
      </c>
      <c r="B27" s="83">
        <v>212183</v>
      </c>
      <c r="C27" s="83" t="str">
        <f>Table7[[#This Row],[Fund Number]]&amp;","&amp;Table7[[#This Row],[FC Number]]</f>
        <v>506458,212183</v>
      </c>
      <c r="D27" s="83"/>
      <c r="E27" s="83" t="s">
        <v>19</v>
      </c>
      <c r="F27" s="238" t="s">
        <v>19</v>
      </c>
      <c r="G27" s="83" t="s">
        <v>464</v>
      </c>
      <c r="H27" s="240" t="s">
        <v>465</v>
      </c>
      <c r="I27" s="91" t="s">
        <v>68</v>
      </c>
      <c r="J27" s="239">
        <v>43922</v>
      </c>
      <c r="K27" s="239">
        <v>44286</v>
      </c>
      <c r="L27" s="256">
        <v>71385</v>
      </c>
      <c r="M27" s="255">
        <v>23792.620499999997</v>
      </c>
    </row>
    <row r="28" spans="1:13" ht="15.75">
      <c r="A28" s="242">
        <v>506459</v>
      </c>
      <c r="B28" s="238">
        <v>205993</v>
      </c>
      <c r="C28" s="238" t="str">
        <f>Table7[[#This Row],[Fund Number]]&amp;","&amp;Table7[[#This Row],[FC Number]]</f>
        <v>506459,205993</v>
      </c>
      <c r="D28" s="238"/>
      <c r="E28" s="238" t="s">
        <v>19</v>
      </c>
      <c r="F28" s="238" t="s">
        <v>19</v>
      </c>
      <c r="G28" s="238" t="s">
        <v>466</v>
      </c>
      <c r="H28" s="240" t="s">
        <v>467</v>
      </c>
      <c r="I28" s="91" t="s">
        <v>46</v>
      </c>
      <c r="J28" s="239">
        <v>43556</v>
      </c>
      <c r="K28" s="239">
        <v>44286</v>
      </c>
      <c r="L28" s="256">
        <v>36000</v>
      </c>
      <c r="M28" s="255">
        <v>11998.8</v>
      </c>
    </row>
    <row r="29" spans="1:13" ht="15.75">
      <c r="A29" s="242">
        <v>506459</v>
      </c>
      <c r="B29" s="238">
        <v>208379</v>
      </c>
      <c r="C29" s="238" t="str">
        <f>Table7[[#This Row],[Fund Number]]&amp;","&amp;Table7[[#This Row],[FC Number]]</f>
        <v>506459,208379</v>
      </c>
      <c r="D29" s="238"/>
      <c r="E29" s="238" t="s">
        <v>19</v>
      </c>
      <c r="F29" s="238" t="s">
        <v>19</v>
      </c>
      <c r="G29" s="238" t="s">
        <v>350</v>
      </c>
      <c r="H29" s="238" t="s">
        <v>468</v>
      </c>
      <c r="I29" s="88" t="s">
        <v>46</v>
      </c>
      <c r="J29" s="239">
        <v>43556</v>
      </c>
      <c r="K29" s="239">
        <v>44286</v>
      </c>
      <c r="L29" s="257">
        <v>21000</v>
      </c>
      <c r="M29" s="255">
        <v>6999.2999999999993</v>
      </c>
    </row>
    <row r="30" spans="1:13" ht="15.75">
      <c r="A30" s="242">
        <v>506459</v>
      </c>
      <c r="B30" s="238">
        <v>208617</v>
      </c>
      <c r="C30" s="238" t="str">
        <f>Table7[[#This Row],[Fund Number]]&amp;","&amp;Table7[[#This Row],[FC Number]]</f>
        <v>506459,208617</v>
      </c>
      <c r="D30" s="238"/>
      <c r="E30" s="238" t="s">
        <v>19</v>
      </c>
      <c r="F30" s="238" t="s">
        <v>19</v>
      </c>
      <c r="G30" s="238" t="s">
        <v>469</v>
      </c>
      <c r="H30" s="238" t="s">
        <v>470</v>
      </c>
      <c r="I30" s="83" t="s">
        <v>68</v>
      </c>
      <c r="J30" s="239">
        <v>43556</v>
      </c>
      <c r="K30" s="239">
        <v>44286</v>
      </c>
      <c r="L30" s="256">
        <v>30000</v>
      </c>
      <c r="M30" s="255">
        <v>9999</v>
      </c>
    </row>
    <row r="31" spans="1:13" ht="15.75">
      <c r="A31" s="83">
        <v>507637</v>
      </c>
      <c r="B31" s="238">
        <v>206014</v>
      </c>
      <c r="C31" s="238" t="str">
        <f>Table7[[#This Row],[Fund Number]]&amp;","&amp;Table7[[#This Row],[FC Number]]</f>
        <v>507637,206014</v>
      </c>
      <c r="D31" s="238"/>
      <c r="E31" s="238" t="s">
        <v>519</v>
      </c>
      <c r="F31" s="238" t="s">
        <v>353</v>
      </c>
      <c r="G31" s="238" t="s">
        <v>354</v>
      </c>
      <c r="H31" s="91" t="s">
        <v>355</v>
      </c>
      <c r="I31" s="91" t="s">
        <v>46</v>
      </c>
      <c r="J31" s="272">
        <v>43709</v>
      </c>
      <c r="K31" s="272">
        <v>44530</v>
      </c>
      <c r="L31" s="255">
        <v>40800</v>
      </c>
      <c r="M31" s="255">
        <v>13598.64</v>
      </c>
    </row>
    <row r="32" spans="1:13" ht="15.75">
      <c r="A32" s="83">
        <v>507637</v>
      </c>
      <c r="B32" s="238">
        <v>207636</v>
      </c>
      <c r="C32" s="238" t="str">
        <f>Table7[[#This Row],[Fund Number]]&amp;","&amp;Table7[[#This Row],[FC Number]]</f>
        <v>507637,207636</v>
      </c>
      <c r="D32" s="238"/>
      <c r="E32" s="238" t="s">
        <v>519</v>
      </c>
      <c r="F32" s="238" t="s">
        <v>353</v>
      </c>
      <c r="G32" s="238" t="s">
        <v>358</v>
      </c>
      <c r="H32" s="91" t="s">
        <v>359</v>
      </c>
      <c r="I32" s="91" t="s">
        <v>46</v>
      </c>
      <c r="J32" s="272">
        <v>43709</v>
      </c>
      <c r="K32" s="272">
        <v>44530</v>
      </c>
      <c r="L32" s="257">
        <v>85000</v>
      </c>
      <c r="M32" s="257">
        <v>28330.5</v>
      </c>
    </row>
    <row r="33" spans="1:13" ht="15.75">
      <c r="A33" s="83">
        <v>507637</v>
      </c>
      <c r="B33" s="238">
        <v>208625</v>
      </c>
      <c r="C33" s="238" t="str">
        <f>Table7[[#This Row],[Fund Number]]&amp;","&amp;Table7[[#This Row],[FC Number]]</f>
        <v>507637,208625</v>
      </c>
      <c r="D33" s="238"/>
      <c r="E33" s="238" t="s">
        <v>519</v>
      </c>
      <c r="F33" s="238" t="s">
        <v>353</v>
      </c>
      <c r="G33" s="238" t="s">
        <v>366</v>
      </c>
      <c r="H33" s="91" t="s">
        <v>367</v>
      </c>
      <c r="I33" s="91" t="s">
        <v>53</v>
      </c>
      <c r="J33" s="272">
        <v>43709</v>
      </c>
      <c r="K33" s="272">
        <v>44530</v>
      </c>
      <c r="L33" s="257">
        <v>63750</v>
      </c>
      <c r="M33" s="257">
        <v>21247.875</v>
      </c>
    </row>
    <row r="34" spans="1:13" ht="15.75">
      <c r="A34" s="83">
        <v>507637</v>
      </c>
      <c r="B34" s="238">
        <v>208728</v>
      </c>
      <c r="C34" s="238" t="str">
        <f>Table7[[#This Row],[Fund Number]]&amp;","&amp;Table7[[#This Row],[FC Number]]</f>
        <v>507637,208728</v>
      </c>
      <c r="D34" s="238"/>
      <c r="E34" s="238" t="s">
        <v>519</v>
      </c>
      <c r="F34" s="238" t="s">
        <v>353</v>
      </c>
      <c r="G34" s="238" t="s">
        <v>342</v>
      </c>
      <c r="H34" s="91" t="s">
        <v>362</v>
      </c>
      <c r="I34" s="91" t="s">
        <v>53</v>
      </c>
      <c r="J34" s="272">
        <v>43709</v>
      </c>
      <c r="K34" s="272">
        <v>44530</v>
      </c>
      <c r="L34" s="257">
        <v>378100</v>
      </c>
      <c r="M34" s="257">
        <v>126020.73</v>
      </c>
    </row>
    <row r="35" spans="1:13" ht="15.75">
      <c r="A35" s="83">
        <v>507637</v>
      </c>
      <c r="B35" s="238">
        <v>209491</v>
      </c>
      <c r="C35" s="238" t="str">
        <f>Table7[[#This Row],[Fund Number]]&amp;","&amp;Table7[[#This Row],[FC Number]]</f>
        <v>507637,209491</v>
      </c>
      <c r="D35" s="238"/>
      <c r="E35" s="238" t="s">
        <v>519</v>
      </c>
      <c r="F35" s="238" t="s">
        <v>353</v>
      </c>
      <c r="G35" s="238" t="s">
        <v>363</v>
      </c>
      <c r="H35" s="91" t="s">
        <v>238</v>
      </c>
      <c r="I35" s="86" t="s">
        <v>75</v>
      </c>
      <c r="J35" s="272">
        <v>43709</v>
      </c>
      <c r="K35" s="272">
        <v>44530</v>
      </c>
      <c r="L35" s="257">
        <v>153000</v>
      </c>
      <c r="M35" s="257">
        <v>50994.899999999994</v>
      </c>
    </row>
    <row r="36" spans="1:13" ht="15.75">
      <c r="A36" s="83">
        <v>507637</v>
      </c>
      <c r="B36" s="238">
        <v>209660</v>
      </c>
      <c r="C36" s="238" t="str">
        <f>Table7[[#This Row],[Fund Number]]&amp;","&amp;Table7[[#This Row],[FC Number]]</f>
        <v>507637,209660</v>
      </c>
      <c r="D36" s="238"/>
      <c r="E36" s="238" t="s">
        <v>519</v>
      </c>
      <c r="F36" s="238" t="s">
        <v>353</v>
      </c>
      <c r="G36" s="238" t="s">
        <v>360</v>
      </c>
      <c r="H36" s="91" t="s">
        <v>361</v>
      </c>
      <c r="I36" s="91" t="s">
        <v>68</v>
      </c>
      <c r="J36" s="272">
        <v>43709</v>
      </c>
      <c r="K36" s="272">
        <v>44530</v>
      </c>
      <c r="L36" s="257">
        <v>74800</v>
      </c>
      <c r="M36" s="257">
        <v>24930.84</v>
      </c>
    </row>
    <row r="37" spans="1:13" ht="15.75">
      <c r="A37" s="83">
        <v>507637</v>
      </c>
      <c r="B37" s="238">
        <v>211152</v>
      </c>
      <c r="C37" s="238" t="str">
        <f>Table7[[#This Row],[Fund Number]]&amp;","&amp;Table7[[#This Row],[FC Number]]</f>
        <v>507637,211152</v>
      </c>
      <c r="D37" s="238"/>
      <c r="E37" s="238" t="s">
        <v>519</v>
      </c>
      <c r="F37" s="238" t="s">
        <v>353</v>
      </c>
      <c r="G37" s="238" t="s">
        <v>364</v>
      </c>
      <c r="H37" s="91" t="s">
        <v>365</v>
      </c>
      <c r="I37" s="91" t="s">
        <v>46</v>
      </c>
      <c r="J37" s="272">
        <v>43709</v>
      </c>
      <c r="K37" s="272">
        <v>44530</v>
      </c>
      <c r="L37" s="257">
        <v>40800</v>
      </c>
      <c r="M37" s="255">
        <v>13598.64</v>
      </c>
    </row>
    <row r="38" spans="1:13" ht="15.75">
      <c r="A38" s="83">
        <v>507637</v>
      </c>
      <c r="B38" s="238">
        <v>212636</v>
      </c>
      <c r="C38" s="238" t="str">
        <f>Table7[[#This Row],[Fund Number]]&amp;","&amp;Table7[[#This Row],[FC Number]]</f>
        <v>507637,212636</v>
      </c>
      <c r="D38" s="238"/>
      <c r="E38" s="238" t="s">
        <v>519</v>
      </c>
      <c r="F38" s="238" t="s">
        <v>353</v>
      </c>
      <c r="G38" s="238" t="s">
        <v>356</v>
      </c>
      <c r="H38" s="91" t="s">
        <v>357</v>
      </c>
      <c r="I38" s="91" t="s">
        <v>53</v>
      </c>
      <c r="J38" s="272">
        <v>43709</v>
      </c>
      <c r="K38" s="272">
        <v>44530</v>
      </c>
      <c r="L38" s="257">
        <v>63750</v>
      </c>
      <c r="M38" s="257">
        <v>21247.875</v>
      </c>
    </row>
    <row r="39" spans="1:13" ht="15.75">
      <c r="A39" s="83">
        <v>507638</v>
      </c>
      <c r="B39" s="238">
        <v>203770</v>
      </c>
      <c r="C39" s="238" t="str">
        <f>Table7[[#This Row],[Fund Number]]&amp;","&amp;Table7[[#This Row],[FC Number]]</f>
        <v>507638,203770</v>
      </c>
      <c r="D39" s="238"/>
      <c r="E39" s="238" t="s">
        <v>519</v>
      </c>
      <c r="F39" s="238" t="s">
        <v>353</v>
      </c>
      <c r="G39" s="238" t="s">
        <v>374</v>
      </c>
      <c r="H39" s="91" t="s">
        <v>259</v>
      </c>
      <c r="I39" s="83" t="s">
        <v>260</v>
      </c>
      <c r="J39" s="272">
        <v>43709</v>
      </c>
      <c r="K39" s="272">
        <v>44530</v>
      </c>
      <c r="L39" s="257">
        <v>40000</v>
      </c>
      <c r="M39" s="257">
        <v>13332</v>
      </c>
    </row>
    <row r="40" spans="1:13" ht="15.75">
      <c r="A40" s="83">
        <v>507638</v>
      </c>
      <c r="B40" s="238">
        <v>203820</v>
      </c>
      <c r="C40" s="238" t="str">
        <f>Table7[[#This Row],[Fund Number]]&amp;","&amp;Table7[[#This Row],[FC Number]]</f>
        <v>507638,203820</v>
      </c>
      <c r="D40" s="238"/>
      <c r="E40" s="238" t="s">
        <v>519</v>
      </c>
      <c r="F40" s="238" t="s">
        <v>353</v>
      </c>
      <c r="G40" s="238" t="s">
        <v>369</v>
      </c>
      <c r="H40" s="91" t="s">
        <v>257</v>
      </c>
      <c r="I40" s="91" t="s">
        <v>46</v>
      </c>
      <c r="J40" s="272">
        <v>43709</v>
      </c>
      <c r="K40" s="272">
        <v>44530</v>
      </c>
      <c r="L40" s="257">
        <v>30000</v>
      </c>
      <c r="M40" s="257">
        <v>9999</v>
      </c>
    </row>
    <row r="41" spans="1:13" ht="15.75">
      <c r="A41" s="83">
        <v>507638</v>
      </c>
      <c r="B41" s="238">
        <v>206595</v>
      </c>
      <c r="C41" s="238" t="str">
        <f>Table7[[#This Row],[Fund Number]]&amp;","&amp;Table7[[#This Row],[FC Number]]</f>
        <v>507638,206595</v>
      </c>
      <c r="D41" s="238"/>
      <c r="E41" s="238" t="s">
        <v>519</v>
      </c>
      <c r="F41" s="238" t="s">
        <v>353</v>
      </c>
      <c r="G41" s="238" t="s">
        <v>368</v>
      </c>
      <c r="H41" s="91" t="s">
        <v>253</v>
      </c>
      <c r="I41" s="91" t="s">
        <v>46</v>
      </c>
      <c r="J41" s="272">
        <v>43709</v>
      </c>
      <c r="K41" s="272">
        <v>44530</v>
      </c>
      <c r="L41" s="257">
        <v>133750</v>
      </c>
      <c r="M41" s="257">
        <v>44578.875</v>
      </c>
    </row>
    <row r="42" spans="1:13" ht="15.75">
      <c r="A42" s="83">
        <v>507638</v>
      </c>
      <c r="B42" s="238">
        <v>207233</v>
      </c>
      <c r="C42" s="238" t="str">
        <f>Table7[[#This Row],[Fund Number]]&amp;","&amp;Table7[[#This Row],[FC Number]]</f>
        <v>507638,207233</v>
      </c>
      <c r="D42" s="238"/>
      <c r="E42" s="238" t="s">
        <v>519</v>
      </c>
      <c r="F42" s="238" t="s">
        <v>353</v>
      </c>
      <c r="G42" s="238" t="s">
        <v>373</v>
      </c>
      <c r="H42" s="91" t="s">
        <v>248</v>
      </c>
      <c r="I42" s="91" t="s">
        <v>46</v>
      </c>
      <c r="J42" s="272">
        <v>43709</v>
      </c>
      <c r="K42" s="272">
        <v>44530</v>
      </c>
      <c r="L42" s="257">
        <v>133250</v>
      </c>
      <c r="M42" s="257">
        <v>44412.224999999999</v>
      </c>
    </row>
    <row r="43" spans="1:13" ht="15.75">
      <c r="A43" s="83">
        <v>507638</v>
      </c>
      <c r="B43" s="238">
        <v>207444</v>
      </c>
      <c r="C43" s="238" t="str">
        <f>Table7[[#This Row],[Fund Number]]&amp;","&amp;Table7[[#This Row],[FC Number]]</f>
        <v>507638,207444</v>
      </c>
      <c r="D43" s="238"/>
      <c r="E43" s="238" t="s">
        <v>519</v>
      </c>
      <c r="F43" s="238" t="s">
        <v>353</v>
      </c>
      <c r="G43" s="238" t="s">
        <v>348</v>
      </c>
      <c r="H43" s="91" t="s">
        <v>249</v>
      </c>
      <c r="I43" s="91" t="s">
        <v>46</v>
      </c>
      <c r="J43" s="272">
        <v>43709</v>
      </c>
      <c r="K43" s="272">
        <v>44530</v>
      </c>
      <c r="L43" s="257">
        <v>100000</v>
      </c>
      <c r="M43" s="257">
        <v>33330</v>
      </c>
    </row>
    <row r="44" spans="1:13" ht="15.75">
      <c r="A44" s="83">
        <v>507638</v>
      </c>
      <c r="B44" s="238">
        <v>209210</v>
      </c>
      <c r="C44" s="238" t="str">
        <f>Table7[[#This Row],[Fund Number]]&amp;","&amp;Table7[[#This Row],[FC Number]]</f>
        <v>507638,209210</v>
      </c>
      <c r="D44" s="238"/>
      <c r="E44" s="238" t="s">
        <v>519</v>
      </c>
      <c r="F44" s="238" t="s">
        <v>353</v>
      </c>
      <c r="G44" s="238" t="s">
        <v>375</v>
      </c>
      <c r="H44" s="91" t="s">
        <v>252</v>
      </c>
      <c r="I44" s="91" t="s">
        <v>68</v>
      </c>
      <c r="J44" s="272">
        <v>43709</v>
      </c>
      <c r="K44" s="272">
        <v>44530</v>
      </c>
      <c r="L44" s="257">
        <v>62000</v>
      </c>
      <c r="M44" s="257">
        <v>20664.599999999999</v>
      </c>
    </row>
    <row r="45" spans="1:13" ht="15.75">
      <c r="A45" s="83">
        <v>507638</v>
      </c>
      <c r="B45" s="238">
        <v>211256</v>
      </c>
      <c r="C45" s="238" t="str">
        <f>Table7[[#This Row],[Fund Number]]&amp;","&amp;Table7[[#This Row],[FC Number]]</f>
        <v>507638,211256</v>
      </c>
      <c r="D45" s="238"/>
      <c r="E45" s="238" t="s">
        <v>519</v>
      </c>
      <c r="F45" s="238" t="s">
        <v>353</v>
      </c>
      <c r="G45" s="238" t="s">
        <v>370</v>
      </c>
      <c r="H45" s="91" t="s">
        <v>251</v>
      </c>
      <c r="I45" s="91" t="s">
        <v>68</v>
      </c>
      <c r="J45" s="272">
        <v>43709</v>
      </c>
      <c r="K45" s="272">
        <v>44530</v>
      </c>
      <c r="L45" s="257">
        <v>132500</v>
      </c>
      <c r="M45" s="257">
        <v>44162.25</v>
      </c>
    </row>
    <row r="46" spans="1:13" ht="15.75">
      <c r="A46" s="83">
        <v>507638</v>
      </c>
      <c r="B46" s="238">
        <v>211963</v>
      </c>
      <c r="C46" s="238" t="str">
        <f>Table7[[#This Row],[Fund Number]]&amp;","&amp;Table7[[#This Row],[FC Number]]</f>
        <v>507638,211963</v>
      </c>
      <c r="D46" s="238"/>
      <c r="E46" s="238" t="s">
        <v>519</v>
      </c>
      <c r="F46" s="238" t="s">
        <v>353</v>
      </c>
      <c r="G46" s="238" t="s">
        <v>372</v>
      </c>
      <c r="H46" s="91" t="s">
        <v>247</v>
      </c>
      <c r="I46" s="91" t="s">
        <v>46</v>
      </c>
      <c r="J46" s="272">
        <v>43709</v>
      </c>
      <c r="K46" s="272">
        <v>44530</v>
      </c>
      <c r="L46" s="257">
        <v>133500</v>
      </c>
      <c r="M46" s="257">
        <v>44495.549999999996</v>
      </c>
    </row>
    <row r="47" spans="1:13" ht="15.75">
      <c r="A47" s="83">
        <v>507638</v>
      </c>
      <c r="B47" s="238">
        <v>212504</v>
      </c>
      <c r="C47" s="238" t="str">
        <f>Table7[[#This Row],[Fund Number]]&amp;","&amp;Table7[[#This Row],[FC Number]]</f>
        <v>507638,212504</v>
      </c>
      <c r="D47" s="238"/>
      <c r="E47" s="238" t="s">
        <v>519</v>
      </c>
      <c r="F47" s="238" t="s">
        <v>353</v>
      </c>
      <c r="G47" s="238" t="s">
        <v>371</v>
      </c>
      <c r="H47" s="91" t="s">
        <v>256</v>
      </c>
      <c r="I47" s="91" t="s">
        <v>68</v>
      </c>
      <c r="J47" s="272">
        <v>43709</v>
      </c>
      <c r="K47" s="272">
        <v>44530</v>
      </c>
      <c r="L47" s="257">
        <v>133500</v>
      </c>
      <c r="M47" s="257">
        <v>44495.549999999996</v>
      </c>
    </row>
    <row r="48" spans="1:13" ht="15.75">
      <c r="A48" s="83">
        <v>507639</v>
      </c>
      <c r="B48" s="238">
        <v>206147</v>
      </c>
      <c r="C48" s="238" t="str">
        <f>Table7[[#This Row],[Fund Number]]&amp;","&amp;Table7[[#This Row],[FC Number]]</f>
        <v>507639,206147</v>
      </c>
      <c r="D48" s="238"/>
      <c r="E48" s="238" t="s">
        <v>519</v>
      </c>
      <c r="F48" s="238" t="s">
        <v>353</v>
      </c>
      <c r="G48" s="238" t="s">
        <v>381</v>
      </c>
      <c r="H48" s="91" t="s">
        <v>261</v>
      </c>
      <c r="I48" s="91" t="s">
        <v>46</v>
      </c>
      <c r="J48" s="272">
        <v>43709</v>
      </c>
      <c r="K48" s="272">
        <v>44530</v>
      </c>
      <c r="L48" s="257">
        <v>240000</v>
      </c>
      <c r="M48" s="257">
        <v>79992</v>
      </c>
    </row>
    <row r="49" spans="1:13" ht="15.75">
      <c r="A49" s="83">
        <v>507639</v>
      </c>
      <c r="B49" s="238">
        <v>206205</v>
      </c>
      <c r="C49" s="238" t="str">
        <f>Table7[[#This Row],[Fund Number]]&amp;","&amp;Table7[[#This Row],[FC Number]]</f>
        <v>507639,206205</v>
      </c>
      <c r="D49" s="238"/>
      <c r="E49" s="238" t="s">
        <v>519</v>
      </c>
      <c r="F49" s="238" t="s">
        <v>353</v>
      </c>
      <c r="G49" s="238" t="s">
        <v>378</v>
      </c>
      <c r="H49" s="91" t="s">
        <v>266</v>
      </c>
      <c r="I49" s="91" t="s">
        <v>46</v>
      </c>
      <c r="J49" s="272">
        <v>43709</v>
      </c>
      <c r="K49" s="272">
        <v>44530</v>
      </c>
      <c r="L49" s="257">
        <v>240000</v>
      </c>
      <c r="M49" s="257">
        <v>79992</v>
      </c>
    </row>
    <row r="50" spans="1:13" ht="15.75">
      <c r="A50" s="83">
        <v>507639</v>
      </c>
      <c r="B50" s="238">
        <v>206595</v>
      </c>
      <c r="C50" s="238" t="str">
        <f>Table7[[#This Row],[Fund Number]]&amp;","&amp;Table7[[#This Row],[FC Number]]</f>
        <v>507639,206595</v>
      </c>
      <c r="D50" s="238"/>
      <c r="E50" s="238" t="s">
        <v>519</v>
      </c>
      <c r="F50" s="238" t="s">
        <v>353</v>
      </c>
      <c r="G50" s="238" t="s">
        <v>368</v>
      </c>
      <c r="H50" s="91" t="s">
        <v>376</v>
      </c>
      <c r="I50" s="91" t="s">
        <v>46</v>
      </c>
      <c r="J50" s="272">
        <v>43709</v>
      </c>
      <c r="K50" s="272">
        <v>44530</v>
      </c>
      <c r="L50" s="257">
        <v>40000</v>
      </c>
      <c r="M50" s="257">
        <v>13332</v>
      </c>
    </row>
    <row r="51" spans="1:13" ht="15.75">
      <c r="A51" s="83">
        <v>507639</v>
      </c>
      <c r="B51" s="238">
        <v>208379</v>
      </c>
      <c r="C51" s="238" t="str">
        <f>Table7[[#This Row],[Fund Number]]&amp;","&amp;Table7[[#This Row],[FC Number]]</f>
        <v>507639,208379</v>
      </c>
      <c r="D51" s="238"/>
      <c r="E51" s="238" t="s">
        <v>519</v>
      </c>
      <c r="F51" s="238" t="s">
        <v>353</v>
      </c>
      <c r="G51" s="238" t="s">
        <v>350</v>
      </c>
      <c r="H51" s="91" t="s">
        <v>267</v>
      </c>
      <c r="I51" s="91" t="s">
        <v>46</v>
      </c>
      <c r="J51" s="272">
        <v>43709</v>
      </c>
      <c r="K51" s="272">
        <v>44530</v>
      </c>
      <c r="L51" s="257">
        <v>80000</v>
      </c>
      <c r="M51" s="257">
        <v>26664</v>
      </c>
    </row>
    <row r="52" spans="1:13" ht="15.75">
      <c r="A52" s="83">
        <v>507639</v>
      </c>
      <c r="B52" s="238">
        <v>210174</v>
      </c>
      <c r="C52" s="238" t="str">
        <f>Table7[[#This Row],[Fund Number]]&amp;","&amp;Table7[[#This Row],[FC Number]]</f>
        <v>507639,210174</v>
      </c>
      <c r="D52" s="238" t="s">
        <v>516</v>
      </c>
      <c r="E52" s="238" t="s">
        <v>519</v>
      </c>
      <c r="F52" s="238" t="s">
        <v>353</v>
      </c>
      <c r="G52" s="238" t="s">
        <v>377</v>
      </c>
      <c r="H52" s="91" t="s">
        <v>263</v>
      </c>
      <c r="I52" s="91" t="s">
        <v>46</v>
      </c>
      <c r="J52" s="272">
        <v>43709</v>
      </c>
      <c r="K52" s="272">
        <v>44165</v>
      </c>
      <c r="L52" s="257">
        <v>8750</v>
      </c>
      <c r="M52" s="257">
        <v>2916.375</v>
      </c>
    </row>
    <row r="53" spans="1:13" ht="15.75">
      <c r="A53" s="83">
        <v>507639</v>
      </c>
      <c r="B53" s="238">
        <v>210174</v>
      </c>
      <c r="C53" s="238" t="str">
        <f>Table7[[#This Row],[Fund Number]]&amp;","&amp;Table7[[#This Row],[FC Number]]</f>
        <v>507639,210174</v>
      </c>
      <c r="D53" s="238"/>
      <c r="E53" s="238" t="s">
        <v>519</v>
      </c>
      <c r="F53" s="238" t="s">
        <v>353</v>
      </c>
      <c r="G53" s="238" t="s">
        <v>377</v>
      </c>
      <c r="H53" s="91" t="s">
        <v>263</v>
      </c>
      <c r="I53" s="91" t="s">
        <v>46</v>
      </c>
      <c r="J53" s="272">
        <v>43709</v>
      </c>
      <c r="K53" s="272">
        <v>44530</v>
      </c>
      <c r="L53" s="257">
        <v>80000</v>
      </c>
      <c r="M53" s="257">
        <v>26664</v>
      </c>
    </row>
    <row r="54" spans="1:13" ht="15.75">
      <c r="A54" s="83">
        <v>507639</v>
      </c>
      <c r="B54" s="238">
        <v>212065</v>
      </c>
      <c r="C54" s="238" t="str">
        <f>Table7[[#This Row],[Fund Number]]&amp;","&amp;Table7[[#This Row],[FC Number]]</f>
        <v>507639,212065</v>
      </c>
      <c r="D54" s="238" t="s">
        <v>516</v>
      </c>
      <c r="E54" s="238" t="s">
        <v>519</v>
      </c>
      <c r="F54" s="238" t="s">
        <v>353</v>
      </c>
      <c r="G54" s="238" t="s">
        <v>380</v>
      </c>
      <c r="H54" s="91" t="s">
        <v>264</v>
      </c>
      <c r="I54" s="91" t="s">
        <v>46</v>
      </c>
      <c r="J54" s="272">
        <v>43709</v>
      </c>
      <c r="K54" s="272">
        <v>44165</v>
      </c>
      <c r="L54" s="257">
        <v>10000</v>
      </c>
      <c r="M54" s="257">
        <v>3333</v>
      </c>
    </row>
    <row r="55" spans="1:13" ht="15.75">
      <c r="A55" s="83">
        <v>507639</v>
      </c>
      <c r="B55" s="238">
        <v>212065</v>
      </c>
      <c r="C55" s="238" t="str">
        <f>Table7[[#This Row],[Fund Number]]&amp;","&amp;Table7[[#This Row],[FC Number]]</f>
        <v>507639,212065</v>
      </c>
      <c r="D55" s="238"/>
      <c r="E55" s="238" t="s">
        <v>519</v>
      </c>
      <c r="F55" s="238" t="s">
        <v>353</v>
      </c>
      <c r="G55" s="238" t="s">
        <v>380</v>
      </c>
      <c r="H55" s="91" t="s">
        <v>264</v>
      </c>
      <c r="I55" s="91" t="s">
        <v>46</v>
      </c>
      <c r="J55" s="272">
        <v>43709</v>
      </c>
      <c r="K55" s="272">
        <v>44530</v>
      </c>
      <c r="L55" s="257">
        <v>275000</v>
      </c>
      <c r="M55" s="257">
        <v>91657.5</v>
      </c>
    </row>
    <row r="56" spans="1:13" ht="15.75">
      <c r="A56" s="83">
        <v>507639</v>
      </c>
      <c r="B56" s="238">
        <v>212361</v>
      </c>
      <c r="C56" s="238" t="str">
        <f>Table7[[#This Row],[Fund Number]]&amp;","&amp;Table7[[#This Row],[FC Number]]</f>
        <v>507639,212361</v>
      </c>
      <c r="D56" s="238"/>
      <c r="E56" s="238" t="s">
        <v>519</v>
      </c>
      <c r="F56" s="238" t="s">
        <v>353</v>
      </c>
      <c r="G56" s="238" t="s">
        <v>379</v>
      </c>
      <c r="H56" s="91" t="s">
        <v>269</v>
      </c>
      <c r="I56" s="91" t="s">
        <v>46</v>
      </c>
      <c r="J56" s="272">
        <v>43709</v>
      </c>
      <c r="K56" s="272">
        <v>44530</v>
      </c>
      <c r="L56" s="257">
        <v>240000</v>
      </c>
      <c r="M56" s="257">
        <v>79992</v>
      </c>
    </row>
    <row r="57" spans="1:13" ht="15.75">
      <c r="A57" s="83">
        <v>507641</v>
      </c>
      <c r="B57" s="238">
        <v>203173</v>
      </c>
      <c r="C57" s="238" t="str">
        <f>Table7[[#This Row],[Fund Number]]&amp;","&amp;Table7[[#This Row],[FC Number]]</f>
        <v>507641,203173</v>
      </c>
      <c r="D57" s="238"/>
      <c r="E57" s="238" t="s">
        <v>519</v>
      </c>
      <c r="F57" s="238" t="s">
        <v>353</v>
      </c>
      <c r="G57" s="238" t="s">
        <v>385</v>
      </c>
      <c r="H57" s="91" t="s">
        <v>386</v>
      </c>
      <c r="I57" s="91" t="s">
        <v>75</v>
      </c>
      <c r="J57" s="272">
        <v>43709</v>
      </c>
      <c r="K57" s="272">
        <v>44530</v>
      </c>
      <c r="L57" s="257">
        <v>61765</v>
      </c>
      <c r="M57" s="257">
        <v>20586.2745</v>
      </c>
    </row>
    <row r="58" spans="1:13" ht="15.75">
      <c r="A58" s="83">
        <v>507641</v>
      </c>
      <c r="B58" s="238">
        <v>203820</v>
      </c>
      <c r="C58" s="238" t="str">
        <f>Table7[[#This Row],[Fund Number]]&amp;","&amp;Table7[[#This Row],[FC Number]]</f>
        <v>507641,203820</v>
      </c>
      <c r="D58" s="238"/>
      <c r="E58" s="238" t="s">
        <v>519</v>
      </c>
      <c r="F58" s="238" t="s">
        <v>353</v>
      </c>
      <c r="G58" s="238" t="s">
        <v>369</v>
      </c>
      <c r="H58" s="91" t="s">
        <v>384</v>
      </c>
      <c r="I58" s="91" t="s">
        <v>46</v>
      </c>
      <c r="J58" s="272">
        <v>43709</v>
      </c>
      <c r="K58" s="272">
        <v>44530</v>
      </c>
      <c r="L58" s="257">
        <v>106595</v>
      </c>
      <c r="M58" s="257">
        <v>35528.113499999999</v>
      </c>
    </row>
    <row r="59" spans="1:13" ht="15.75">
      <c r="A59" s="83">
        <v>507641</v>
      </c>
      <c r="B59" s="238">
        <v>205592</v>
      </c>
      <c r="C59" s="238" t="str">
        <f>Table7[[#This Row],[Fund Number]]&amp;","&amp;Table7[[#This Row],[FC Number]]</f>
        <v>507641,205592</v>
      </c>
      <c r="D59" s="238"/>
      <c r="E59" s="238" t="s">
        <v>519</v>
      </c>
      <c r="F59" s="238" t="s">
        <v>353</v>
      </c>
      <c r="G59" s="238" t="s">
        <v>389</v>
      </c>
      <c r="H59" s="91" t="s">
        <v>390</v>
      </c>
      <c r="I59" s="91" t="s">
        <v>46</v>
      </c>
      <c r="J59" s="272">
        <v>43709</v>
      </c>
      <c r="K59" s="272">
        <v>44530</v>
      </c>
      <c r="L59" s="257">
        <v>32000</v>
      </c>
      <c r="M59" s="257">
        <v>10665.6</v>
      </c>
    </row>
    <row r="60" spans="1:13" ht="15.75">
      <c r="A60" s="83">
        <v>507641</v>
      </c>
      <c r="B60" s="238">
        <v>208897</v>
      </c>
      <c r="C60" s="238" t="str">
        <f>Table7[[#This Row],[Fund Number]]&amp;","&amp;Table7[[#This Row],[FC Number]]</f>
        <v>507641,208897</v>
      </c>
      <c r="D60" s="238"/>
      <c r="E60" s="238" t="s">
        <v>519</v>
      </c>
      <c r="F60" s="238" t="s">
        <v>353</v>
      </c>
      <c r="G60" s="238" t="s">
        <v>387</v>
      </c>
      <c r="H60" s="91" t="s">
        <v>388</v>
      </c>
      <c r="I60" s="91" t="s">
        <v>46</v>
      </c>
      <c r="J60" s="272">
        <v>43709</v>
      </c>
      <c r="K60" s="272">
        <v>44530</v>
      </c>
      <c r="L60" s="257">
        <v>73925</v>
      </c>
      <c r="M60" s="257">
        <v>24639.202499999999</v>
      </c>
    </row>
    <row r="61" spans="1:13" ht="15.75">
      <c r="A61" s="83">
        <v>507641</v>
      </c>
      <c r="B61" s="238">
        <v>208934</v>
      </c>
      <c r="C61" s="238" t="str">
        <f>Table7[[#This Row],[Fund Number]]&amp;","&amp;Table7[[#This Row],[FC Number]]</f>
        <v>507641,208934</v>
      </c>
      <c r="D61" s="238"/>
      <c r="E61" s="238" t="s">
        <v>519</v>
      </c>
      <c r="F61" s="238" t="s">
        <v>353</v>
      </c>
      <c r="G61" s="238" t="s">
        <v>382</v>
      </c>
      <c r="H61" s="91" t="s">
        <v>383</v>
      </c>
      <c r="I61" s="91" t="s">
        <v>75</v>
      </c>
      <c r="J61" s="272">
        <v>43709</v>
      </c>
      <c r="K61" s="272">
        <v>44530</v>
      </c>
      <c r="L61" s="257">
        <v>58717</v>
      </c>
      <c r="M61" s="257">
        <v>19570.376099999998</v>
      </c>
    </row>
    <row r="62" spans="1:13" ht="15.75">
      <c r="A62" s="83">
        <v>507642</v>
      </c>
      <c r="B62" s="238">
        <v>200150</v>
      </c>
      <c r="C62" s="238" t="str">
        <f>Table7[[#This Row],[Fund Number]]&amp;","&amp;Table7[[#This Row],[FC Number]]</f>
        <v>507642,200150</v>
      </c>
      <c r="D62" s="238"/>
      <c r="E62" s="238" t="s">
        <v>519</v>
      </c>
      <c r="F62" s="238" t="s">
        <v>353</v>
      </c>
      <c r="G62" s="238" t="s">
        <v>393</v>
      </c>
      <c r="H62" s="91" t="s">
        <v>278</v>
      </c>
      <c r="I62" s="91" t="s">
        <v>53</v>
      </c>
      <c r="J62" s="272">
        <v>43709</v>
      </c>
      <c r="K62" s="272">
        <v>44530</v>
      </c>
      <c r="L62" s="257">
        <v>85000</v>
      </c>
      <c r="M62" s="257">
        <v>28330.5</v>
      </c>
    </row>
    <row r="63" spans="1:13" ht="15.75">
      <c r="A63" s="83">
        <v>507642</v>
      </c>
      <c r="B63" s="238">
        <v>208607</v>
      </c>
      <c r="C63" s="238" t="str">
        <f>Table7[[#This Row],[Fund Number]]&amp;","&amp;Table7[[#This Row],[FC Number]]</f>
        <v>507642,208607</v>
      </c>
      <c r="D63" s="238"/>
      <c r="E63" s="238" t="s">
        <v>519</v>
      </c>
      <c r="F63" s="238" t="s">
        <v>353</v>
      </c>
      <c r="G63" s="238" t="s">
        <v>391</v>
      </c>
      <c r="H63" s="91" t="s">
        <v>282</v>
      </c>
      <c r="I63" s="91" t="s">
        <v>53</v>
      </c>
      <c r="J63" s="272">
        <v>43709</v>
      </c>
      <c r="K63" s="272">
        <v>44530</v>
      </c>
      <c r="L63" s="257">
        <v>90000</v>
      </c>
      <c r="M63" s="257">
        <v>29997</v>
      </c>
    </row>
    <row r="64" spans="1:13" ht="15.75">
      <c r="A64" s="83">
        <v>507642</v>
      </c>
      <c r="B64" s="238">
        <v>212714</v>
      </c>
      <c r="C64" s="238" t="str">
        <f>Table7[[#This Row],[Fund Number]]&amp;","&amp;Table7[[#This Row],[FC Number]]</f>
        <v>507642,212714</v>
      </c>
      <c r="D64" s="238"/>
      <c r="E64" s="238" t="s">
        <v>519</v>
      </c>
      <c r="F64" s="238" t="s">
        <v>353</v>
      </c>
      <c r="G64" s="238" t="s">
        <v>392</v>
      </c>
      <c r="H64" s="91" t="s">
        <v>280</v>
      </c>
      <c r="I64" s="91" t="s">
        <v>53</v>
      </c>
      <c r="J64" s="272">
        <v>43709</v>
      </c>
      <c r="K64" s="272">
        <v>44530</v>
      </c>
      <c r="L64" s="257">
        <v>85000</v>
      </c>
      <c r="M64" s="257">
        <v>28330.5</v>
      </c>
    </row>
    <row r="65" spans="1:13" ht="15.75">
      <c r="A65" s="83">
        <v>507643</v>
      </c>
      <c r="B65" s="238">
        <v>201921</v>
      </c>
      <c r="C65" s="238" t="str">
        <f>Table7[[#This Row],[Fund Number]]&amp;","&amp;Table7[[#This Row],[FC Number]]</f>
        <v>507643,201921</v>
      </c>
      <c r="D65" s="238"/>
      <c r="E65" s="238" t="s">
        <v>519</v>
      </c>
      <c r="F65" s="238" t="s">
        <v>353</v>
      </c>
      <c r="G65" s="238" t="s">
        <v>397</v>
      </c>
      <c r="H65" s="91" t="s">
        <v>284</v>
      </c>
      <c r="I65" s="91" t="s">
        <v>46</v>
      </c>
      <c r="J65" s="272">
        <v>43709</v>
      </c>
      <c r="K65" s="272">
        <v>44530</v>
      </c>
      <c r="L65" s="257">
        <v>80000</v>
      </c>
      <c r="M65" s="257">
        <v>26664</v>
      </c>
    </row>
    <row r="66" spans="1:13" ht="15.75">
      <c r="A66" s="83">
        <v>507643</v>
      </c>
      <c r="B66" s="238">
        <v>208489</v>
      </c>
      <c r="C66" s="238" t="str">
        <f>Table7[[#This Row],[Fund Number]]&amp;","&amp;Table7[[#This Row],[FC Number]]</f>
        <v>507643,208489</v>
      </c>
      <c r="D66" s="238"/>
      <c r="E66" s="238" t="s">
        <v>519</v>
      </c>
      <c r="F66" s="238" t="s">
        <v>353</v>
      </c>
      <c r="G66" s="238" t="s">
        <v>395</v>
      </c>
      <c r="H66" s="91" t="s">
        <v>396</v>
      </c>
      <c r="I66" s="91" t="s">
        <v>68</v>
      </c>
      <c r="J66" s="272">
        <v>43709</v>
      </c>
      <c r="K66" s="272">
        <v>44530</v>
      </c>
      <c r="L66" s="257">
        <v>75000</v>
      </c>
      <c r="M66" s="257">
        <v>24997.5</v>
      </c>
    </row>
    <row r="67" spans="1:13" ht="15.75">
      <c r="A67" s="83">
        <v>507643</v>
      </c>
      <c r="B67" s="238">
        <v>208810</v>
      </c>
      <c r="C67" s="238" t="str">
        <f>Table7[[#This Row],[Fund Number]]&amp;","&amp;Table7[[#This Row],[FC Number]]</f>
        <v>507643,208810</v>
      </c>
      <c r="D67" s="238"/>
      <c r="E67" s="238" t="s">
        <v>519</v>
      </c>
      <c r="F67" s="238" t="s">
        <v>353</v>
      </c>
      <c r="G67" s="238" t="s">
        <v>398</v>
      </c>
      <c r="H67" s="91" t="s">
        <v>399</v>
      </c>
      <c r="I67" s="91" t="s">
        <v>53</v>
      </c>
      <c r="J67" s="272">
        <v>43709</v>
      </c>
      <c r="K67" s="272">
        <v>44530</v>
      </c>
      <c r="L67" s="257">
        <v>100000</v>
      </c>
      <c r="M67" s="257">
        <v>33330</v>
      </c>
    </row>
    <row r="68" spans="1:13" ht="15.75">
      <c r="A68" s="83">
        <v>507643</v>
      </c>
      <c r="B68" s="238">
        <v>211134</v>
      </c>
      <c r="C68" s="238" t="str">
        <f>Table7[[#This Row],[Fund Number]]&amp;","&amp;Table7[[#This Row],[FC Number]]</f>
        <v>507643,211134</v>
      </c>
      <c r="D68" s="238"/>
      <c r="E68" s="238" t="s">
        <v>519</v>
      </c>
      <c r="F68" s="238" t="s">
        <v>353</v>
      </c>
      <c r="G68" s="238" t="s">
        <v>394</v>
      </c>
      <c r="H68" s="91" t="s">
        <v>287</v>
      </c>
      <c r="I68" s="91" t="s">
        <v>46</v>
      </c>
      <c r="J68" s="272">
        <v>43709</v>
      </c>
      <c r="K68" s="272">
        <v>44530</v>
      </c>
      <c r="L68" s="257">
        <v>80000</v>
      </c>
      <c r="M68" s="257">
        <v>26664</v>
      </c>
    </row>
    <row r="69" spans="1:13" ht="15.75">
      <c r="A69" s="83">
        <v>507693</v>
      </c>
      <c r="B69" s="238">
        <v>201921</v>
      </c>
      <c r="C69" s="238" t="str">
        <f>Table7[[#This Row],[Fund Number]]&amp;","&amp;Table7[[#This Row],[FC Number]]</f>
        <v>507693,201921</v>
      </c>
      <c r="D69" s="238"/>
      <c r="E69" s="238" t="s">
        <v>519</v>
      </c>
      <c r="F69" s="238" t="s">
        <v>353</v>
      </c>
      <c r="G69" s="238" t="s">
        <v>397</v>
      </c>
      <c r="H69" s="91" t="s">
        <v>408</v>
      </c>
      <c r="I69" s="91" t="s">
        <v>46</v>
      </c>
      <c r="J69" s="272">
        <v>43709</v>
      </c>
      <c r="K69" s="272">
        <v>44530</v>
      </c>
      <c r="L69" s="257">
        <v>66900</v>
      </c>
      <c r="M69" s="257">
        <v>22297.77</v>
      </c>
    </row>
    <row r="70" spans="1:13" ht="15.75">
      <c r="A70" s="83">
        <v>507693</v>
      </c>
      <c r="B70" s="238">
        <v>206130</v>
      </c>
      <c r="C70" s="238" t="str">
        <f>Table7[[#This Row],[Fund Number]]&amp;","&amp;Table7[[#This Row],[FC Number]]</f>
        <v>507693,206130</v>
      </c>
      <c r="D70" s="238"/>
      <c r="E70" s="238" t="s">
        <v>519</v>
      </c>
      <c r="F70" s="238" t="s">
        <v>353</v>
      </c>
      <c r="G70" s="238" t="s">
        <v>400</v>
      </c>
      <c r="H70" s="91" t="s">
        <v>401</v>
      </c>
      <c r="I70" s="91" t="s">
        <v>46</v>
      </c>
      <c r="J70" s="272">
        <v>43709</v>
      </c>
      <c r="K70" s="272">
        <v>44530</v>
      </c>
      <c r="L70" s="257">
        <v>100350</v>
      </c>
      <c r="M70" s="257">
        <v>33446.654999999999</v>
      </c>
    </row>
    <row r="71" spans="1:13" ht="15.75">
      <c r="A71" s="83">
        <v>507693</v>
      </c>
      <c r="B71" s="238">
        <v>209184</v>
      </c>
      <c r="C71" s="238" t="str">
        <f>Table7[[#This Row],[Fund Number]]&amp;","&amp;Table7[[#This Row],[FC Number]]</f>
        <v>507693,209184</v>
      </c>
      <c r="D71" s="238"/>
      <c r="E71" s="238" t="s">
        <v>519</v>
      </c>
      <c r="F71" s="238" t="s">
        <v>353</v>
      </c>
      <c r="G71" s="238" t="s">
        <v>411</v>
      </c>
      <c r="H71" s="91" t="s">
        <v>412</v>
      </c>
      <c r="I71" s="91" t="s">
        <v>53</v>
      </c>
      <c r="J71" s="272">
        <v>43709</v>
      </c>
      <c r="K71" s="272">
        <v>44530</v>
      </c>
      <c r="L71" s="257">
        <v>108000</v>
      </c>
      <c r="M71" s="257">
        <v>35996.400000000001</v>
      </c>
    </row>
    <row r="72" spans="1:13" ht="15.75">
      <c r="A72" s="83">
        <v>507693</v>
      </c>
      <c r="B72" s="238">
        <v>209766</v>
      </c>
      <c r="C72" s="238" t="str">
        <f>Table7[[#This Row],[Fund Number]]&amp;","&amp;Table7[[#This Row],[FC Number]]</f>
        <v>507693,209766</v>
      </c>
      <c r="D72" s="238"/>
      <c r="E72" s="238" t="s">
        <v>519</v>
      </c>
      <c r="F72" s="238" t="s">
        <v>353</v>
      </c>
      <c r="G72" s="238" t="s">
        <v>409</v>
      </c>
      <c r="H72" s="91" t="s">
        <v>410</v>
      </c>
      <c r="I72" s="91" t="s">
        <v>53</v>
      </c>
      <c r="J72" s="272">
        <v>43709</v>
      </c>
      <c r="K72" s="272">
        <v>44530</v>
      </c>
      <c r="L72" s="257">
        <v>108123</v>
      </c>
      <c r="M72" s="257">
        <v>36037.395899999996</v>
      </c>
    </row>
    <row r="73" spans="1:13" ht="15.75">
      <c r="A73" s="83">
        <v>507693</v>
      </c>
      <c r="B73" s="238">
        <v>211063</v>
      </c>
      <c r="C73" s="238" t="str">
        <f>Table7[[#This Row],[Fund Number]]&amp;","&amp;Table7[[#This Row],[FC Number]]</f>
        <v>507693,211063</v>
      </c>
      <c r="D73" s="238"/>
      <c r="E73" s="238" t="s">
        <v>519</v>
      </c>
      <c r="F73" s="238" t="s">
        <v>353</v>
      </c>
      <c r="G73" s="238" t="s">
        <v>402</v>
      </c>
      <c r="H73" s="91" t="s">
        <v>403</v>
      </c>
      <c r="I73" s="91" t="s">
        <v>68</v>
      </c>
      <c r="J73" s="272">
        <v>43709</v>
      </c>
      <c r="K73" s="272">
        <v>44530</v>
      </c>
      <c r="L73" s="257">
        <v>33450</v>
      </c>
      <c r="M73" s="257">
        <v>11148.885</v>
      </c>
    </row>
    <row r="74" spans="1:13" ht="15.75">
      <c r="A74" s="83">
        <v>507693</v>
      </c>
      <c r="B74" s="238">
        <v>211963</v>
      </c>
      <c r="C74" s="238" t="str">
        <f>Table7[[#This Row],[Fund Number]]&amp;","&amp;Table7[[#This Row],[FC Number]]</f>
        <v>507693,211963</v>
      </c>
      <c r="D74" s="238"/>
      <c r="E74" s="238" t="s">
        <v>519</v>
      </c>
      <c r="F74" s="238" t="s">
        <v>353</v>
      </c>
      <c r="G74" s="238" t="s">
        <v>372</v>
      </c>
      <c r="H74" s="91" t="s">
        <v>404</v>
      </c>
      <c r="I74" s="91" t="s">
        <v>46</v>
      </c>
      <c r="J74" s="272">
        <v>43709</v>
      </c>
      <c r="K74" s="272">
        <v>44530</v>
      </c>
      <c r="L74" s="257">
        <v>33450</v>
      </c>
      <c r="M74" s="257">
        <v>11148.885</v>
      </c>
    </row>
    <row r="75" spans="1:13" ht="15.75">
      <c r="A75" s="83">
        <v>507693</v>
      </c>
      <c r="B75" s="238">
        <v>212636</v>
      </c>
      <c r="C75" s="238" t="str">
        <f>Table7[[#This Row],[Fund Number]]&amp;","&amp;Table7[[#This Row],[FC Number]]</f>
        <v>507693,212636</v>
      </c>
      <c r="D75" s="238"/>
      <c r="E75" s="238" t="s">
        <v>519</v>
      </c>
      <c r="F75" s="238" t="s">
        <v>353</v>
      </c>
      <c r="G75" s="238" t="s">
        <v>356</v>
      </c>
      <c r="H75" s="91" t="s">
        <v>405</v>
      </c>
      <c r="I75" s="91" t="s">
        <v>53</v>
      </c>
      <c r="J75" s="272">
        <v>43709</v>
      </c>
      <c r="K75" s="272">
        <v>44530</v>
      </c>
      <c r="L75" s="257">
        <v>108370</v>
      </c>
      <c r="M75" s="257">
        <v>36119.720999999998</v>
      </c>
    </row>
    <row r="76" spans="1:13" ht="15.75">
      <c r="A76" s="83">
        <v>507693</v>
      </c>
      <c r="B76" s="238">
        <v>212893</v>
      </c>
      <c r="C76" s="238" t="str">
        <f>Table7[[#This Row],[Fund Number]]&amp;","&amp;Table7[[#This Row],[FC Number]]</f>
        <v>507693,212893</v>
      </c>
      <c r="D76" s="238"/>
      <c r="E76" s="238" t="s">
        <v>519</v>
      </c>
      <c r="F76" s="238" t="s">
        <v>353</v>
      </c>
      <c r="G76" s="238" t="s">
        <v>406</v>
      </c>
      <c r="H76" s="91" t="s">
        <v>407</v>
      </c>
      <c r="I76" s="91" t="s">
        <v>53</v>
      </c>
      <c r="J76" s="272">
        <v>43709</v>
      </c>
      <c r="K76" s="272">
        <v>44530</v>
      </c>
      <c r="L76" s="257">
        <v>108000</v>
      </c>
      <c r="M76" s="257">
        <v>35996.400000000001</v>
      </c>
    </row>
    <row r="77" spans="1:13" ht="15.75">
      <c r="A77" s="83">
        <v>507776</v>
      </c>
      <c r="B77" s="238">
        <v>208625</v>
      </c>
      <c r="C77" s="238" t="str">
        <f>Table7[[#This Row],[Fund Number]]&amp;","&amp;Table7[[#This Row],[FC Number]]</f>
        <v>507776,208625</v>
      </c>
      <c r="D77" s="238"/>
      <c r="E77" s="238" t="s">
        <v>519</v>
      </c>
      <c r="F77" s="238" t="s">
        <v>353</v>
      </c>
      <c r="G77" s="238" t="s">
        <v>366</v>
      </c>
      <c r="H77" s="91" t="s">
        <v>307</v>
      </c>
      <c r="I77" s="91" t="s">
        <v>53</v>
      </c>
      <c r="J77" s="272">
        <v>43709</v>
      </c>
      <c r="K77" s="272">
        <v>44530</v>
      </c>
      <c r="L77" s="257">
        <v>83333</v>
      </c>
      <c r="M77" s="257">
        <v>27774.888899999998</v>
      </c>
    </row>
    <row r="78" spans="1:13" ht="15.75">
      <c r="A78" s="83">
        <v>507776</v>
      </c>
      <c r="B78" s="238">
        <v>208628</v>
      </c>
      <c r="C78" s="238" t="str">
        <f>Table7[[#This Row],[Fund Number]]&amp;","&amp;Table7[[#This Row],[FC Number]]</f>
        <v>507776,208628</v>
      </c>
      <c r="D78" s="238" t="s">
        <v>516</v>
      </c>
      <c r="E78" s="238" t="s">
        <v>519</v>
      </c>
      <c r="F78" s="238" t="s">
        <v>353</v>
      </c>
      <c r="G78" s="238" t="s">
        <v>416</v>
      </c>
      <c r="H78" s="91" t="s">
        <v>417</v>
      </c>
      <c r="I78" s="91" t="s">
        <v>53</v>
      </c>
      <c r="J78" s="272">
        <v>43709</v>
      </c>
      <c r="K78" s="272">
        <v>44530</v>
      </c>
      <c r="L78" s="257">
        <v>83334</v>
      </c>
      <c r="M78" s="257">
        <v>27775.2222</v>
      </c>
    </row>
    <row r="79" spans="1:13" ht="15.75">
      <c r="A79" s="83">
        <v>507776</v>
      </c>
      <c r="B79" s="238">
        <v>208628</v>
      </c>
      <c r="C79" s="238" t="str">
        <f>Table7[[#This Row],[Fund Number]]&amp;","&amp;Table7[[#This Row],[FC Number]]</f>
        <v>507776,208628</v>
      </c>
      <c r="D79" s="238"/>
      <c r="E79" s="238" t="s">
        <v>519</v>
      </c>
      <c r="F79" s="238" t="s">
        <v>353</v>
      </c>
      <c r="G79" s="238" t="s">
        <v>416</v>
      </c>
      <c r="H79" s="91" t="s">
        <v>417</v>
      </c>
      <c r="I79" s="91" t="s">
        <v>53</v>
      </c>
      <c r="J79" s="272">
        <v>44166</v>
      </c>
      <c r="K79" s="272">
        <v>44166</v>
      </c>
      <c r="L79" s="257">
        <v>-50000</v>
      </c>
      <c r="M79" s="257">
        <v>-16665</v>
      </c>
    </row>
    <row r="80" spans="1:13" ht="15.75">
      <c r="A80" s="83">
        <v>507776</v>
      </c>
      <c r="B80" s="238">
        <v>208808</v>
      </c>
      <c r="C80" s="238" t="str">
        <f>Table7[[#This Row],[Fund Number]]&amp;","&amp;Table7[[#This Row],[FC Number]]</f>
        <v>507776,208808</v>
      </c>
      <c r="D80" s="238"/>
      <c r="E80" s="238" t="s">
        <v>519</v>
      </c>
      <c r="F80" s="238" t="s">
        <v>353</v>
      </c>
      <c r="G80" s="238" t="s">
        <v>414</v>
      </c>
      <c r="H80" s="91" t="s">
        <v>309</v>
      </c>
      <c r="I80" s="91" t="s">
        <v>53</v>
      </c>
      <c r="J80" s="272">
        <v>43709</v>
      </c>
      <c r="K80" s="272">
        <v>44530</v>
      </c>
      <c r="L80" s="257">
        <v>70000</v>
      </c>
      <c r="M80" s="257">
        <v>23331</v>
      </c>
    </row>
    <row r="81" spans="1:13" ht="15.75">
      <c r="A81" s="83">
        <v>507776</v>
      </c>
      <c r="B81" s="238">
        <v>209476</v>
      </c>
      <c r="C81" s="238" t="str">
        <f>Table7[[#This Row],[Fund Number]]&amp;","&amp;Table7[[#This Row],[FC Number]]</f>
        <v>507776,209476</v>
      </c>
      <c r="D81" s="238"/>
      <c r="E81" s="238" t="s">
        <v>519</v>
      </c>
      <c r="F81" s="238" t="s">
        <v>353</v>
      </c>
      <c r="G81" s="238" t="s">
        <v>415</v>
      </c>
      <c r="H81" s="91" t="s">
        <v>300</v>
      </c>
      <c r="I81" s="91" t="s">
        <v>46</v>
      </c>
      <c r="J81" s="272">
        <v>43709</v>
      </c>
      <c r="K81" s="272">
        <v>44530</v>
      </c>
      <c r="L81" s="257">
        <v>70000</v>
      </c>
      <c r="M81" s="257">
        <v>23331</v>
      </c>
    </row>
    <row r="82" spans="1:13" ht="15.75">
      <c r="A82" s="83">
        <v>507776</v>
      </c>
      <c r="B82" s="238">
        <v>209711</v>
      </c>
      <c r="C82" s="238" t="str">
        <f>Table7[[#This Row],[Fund Number]]&amp;","&amp;Table7[[#This Row],[FC Number]]</f>
        <v>507776,209711</v>
      </c>
      <c r="D82" s="238"/>
      <c r="E82" s="238" t="s">
        <v>519</v>
      </c>
      <c r="F82" s="238" t="s">
        <v>353</v>
      </c>
      <c r="G82" s="238" t="s">
        <v>420</v>
      </c>
      <c r="H82" s="91" t="s">
        <v>305</v>
      </c>
      <c r="I82" s="91" t="s">
        <v>53</v>
      </c>
      <c r="J82" s="272">
        <v>43709</v>
      </c>
      <c r="K82" s="272">
        <v>44530</v>
      </c>
      <c r="L82" s="257">
        <v>83333</v>
      </c>
      <c r="M82" s="257">
        <v>27774.888899999998</v>
      </c>
    </row>
    <row r="83" spans="1:13" ht="15.75">
      <c r="A83" s="83">
        <v>507776</v>
      </c>
      <c r="B83" s="238">
        <v>211377</v>
      </c>
      <c r="C83" s="238" t="str">
        <f>Table7[[#This Row],[Fund Number]]&amp;","&amp;Table7[[#This Row],[FC Number]]</f>
        <v>507776,211377</v>
      </c>
      <c r="D83" s="238"/>
      <c r="E83" s="238" t="s">
        <v>519</v>
      </c>
      <c r="F83" s="238" t="s">
        <v>353</v>
      </c>
      <c r="G83" s="238" t="s">
        <v>413</v>
      </c>
      <c r="H83" s="91" t="s">
        <v>306</v>
      </c>
      <c r="I83" s="91" t="s">
        <v>53</v>
      </c>
      <c r="J83" s="272">
        <v>43709</v>
      </c>
      <c r="K83" s="272">
        <v>44530</v>
      </c>
      <c r="L83" s="257">
        <v>60000</v>
      </c>
      <c r="M83" s="257">
        <v>19998</v>
      </c>
    </row>
    <row r="84" spans="1:13" ht="15.75">
      <c r="A84" s="83">
        <v>507776</v>
      </c>
      <c r="B84" s="238">
        <v>211963</v>
      </c>
      <c r="C84" s="238" t="str">
        <f>Table7[[#This Row],[Fund Number]]&amp;","&amp;Table7[[#This Row],[FC Number]]</f>
        <v>507776,211963</v>
      </c>
      <c r="D84" s="238"/>
      <c r="E84" s="238" t="s">
        <v>519</v>
      </c>
      <c r="F84" s="238" t="s">
        <v>353</v>
      </c>
      <c r="G84" s="238" t="s">
        <v>372</v>
      </c>
      <c r="H84" s="91" t="s">
        <v>301</v>
      </c>
      <c r="I84" s="91" t="s">
        <v>46</v>
      </c>
      <c r="J84" s="272">
        <v>43709</v>
      </c>
      <c r="K84" s="272">
        <v>44530</v>
      </c>
      <c r="L84" s="257">
        <v>50000</v>
      </c>
      <c r="M84" s="257">
        <v>16665</v>
      </c>
    </row>
    <row r="85" spans="1:13" ht="15.75">
      <c r="A85" s="83">
        <v>507776</v>
      </c>
      <c r="B85" s="238">
        <v>213194</v>
      </c>
      <c r="C85" s="238" t="str">
        <f>Table7[[#This Row],[Fund Number]]&amp;","&amp;Table7[[#This Row],[FC Number]]</f>
        <v>507776,213194</v>
      </c>
      <c r="D85" s="238"/>
      <c r="E85" s="238" t="s">
        <v>519</v>
      </c>
      <c r="F85" s="238" t="s">
        <v>353</v>
      </c>
      <c r="G85" s="238" t="s">
        <v>418</v>
      </c>
      <c r="H85" s="91" t="s">
        <v>419</v>
      </c>
      <c r="I85" s="91" t="s">
        <v>46</v>
      </c>
      <c r="J85" s="272">
        <v>43709</v>
      </c>
      <c r="K85" s="272">
        <v>44530</v>
      </c>
      <c r="L85" s="256">
        <v>50000</v>
      </c>
      <c r="M85" s="257">
        <v>16665</v>
      </c>
    </row>
    <row r="86" spans="1:13" ht="15.75">
      <c r="A86" s="83">
        <v>507777</v>
      </c>
      <c r="B86" s="238">
        <v>203561</v>
      </c>
      <c r="C86" s="238" t="str">
        <f>Table7[[#This Row],[Fund Number]]&amp;","&amp;Table7[[#This Row],[FC Number]]</f>
        <v>507777,203561</v>
      </c>
      <c r="D86" s="238"/>
      <c r="E86" s="238" t="s">
        <v>519</v>
      </c>
      <c r="F86" s="238" t="s">
        <v>353</v>
      </c>
      <c r="G86" s="238" t="s">
        <v>425</v>
      </c>
      <c r="H86" s="91" t="s">
        <v>318</v>
      </c>
      <c r="I86" s="91" t="s">
        <v>53</v>
      </c>
      <c r="J86" s="272">
        <v>43709</v>
      </c>
      <c r="K86" s="272">
        <v>44530</v>
      </c>
      <c r="L86" s="257">
        <v>89064</v>
      </c>
      <c r="M86" s="257">
        <v>29685.031199999998</v>
      </c>
    </row>
    <row r="87" spans="1:13" ht="15.75">
      <c r="A87" s="83">
        <v>507777</v>
      </c>
      <c r="B87" s="238">
        <v>203628</v>
      </c>
      <c r="C87" s="238" t="str">
        <f>Table7[[#This Row],[Fund Number]]&amp;","&amp;Table7[[#This Row],[FC Number]]</f>
        <v>507777,203628</v>
      </c>
      <c r="D87" s="238"/>
      <c r="E87" s="238" t="s">
        <v>519</v>
      </c>
      <c r="F87" s="238" t="s">
        <v>353</v>
      </c>
      <c r="G87" s="238" t="s">
        <v>424</v>
      </c>
      <c r="H87" s="91" t="s">
        <v>316</v>
      </c>
      <c r="I87" s="91" t="s">
        <v>53</v>
      </c>
      <c r="J87" s="272">
        <v>43709</v>
      </c>
      <c r="K87" s="272">
        <v>44530</v>
      </c>
      <c r="L87" s="257">
        <v>201530</v>
      </c>
      <c r="M87" s="257">
        <v>67169.948999999993</v>
      </c>
    </row>
    <row r="88" spans="1:13" ht="15.75">
      <c r="A88" s="83">
        <v>507777</v>
      </c>
      <c r="B88" s="238">
        <v>206121</v>
      </c>
      <c r="C88" s="238" t="str">
        <f>Table7[[#This Row],[Fund Number]]&amp;","&amp;Table7[[#This Row],[FC Number]]</f>
        <v>507777,206121</v>
      </c>
      <c r="D88" s="238"/>
      <c r="E88" s="238" t="s">
        <v>519</v>
      </c>
      <c r="F88" s="238" t="s">
        <v>353</v>
      </c>
      <c r="G88" s="238" t="s">
        <v>422</v>
      </c>
      <c r="H88" s="91" t="s">
        <v>311</v>
      </c>
      <c r="I88" s="91" t="s">
        <v>46</v>
      </c>
      <c r="J88" s="272">
        <v>43709</v>
      </c>
      <c r="K88" s="272">
        <v>44530</v>
      </c>
      <c r="L88" s="257">
        <v>103320</v>
      </c>
      <c r="M88" s="257">
        <v>34436.555999999997</v>
      </c>
    </row>
    <row r="89" spans="1:13" ht="15.75">
      <c r="A89" s="83">
        <v>507777</v>
      </c>
      <c r="B89" s="238">
        <v>206470</v>
      </c>
      <c r="C89" s="238" t="str">
        <f>Table7[[#This Row],[Fund Number]]&amp;","&amp;Table7[[#This Row],[FC Number]]</f>
        <v>507777,206470</v>
      </c>
      <c r="D89" s="238"/>
      <c r="E89" s="238" t="s">
        <v>519</v>
      </c>
      <c r="F89" s="238" t="s">
        <v>353</v>
      </c>
      <c r="G89" s="238" t="s">
        <v>421</v>
      </c>
      <c r="H89" s="91" t="s">
        <v>313</v>
      </c>
      <c r="I89" s="91" t="s">
        <v>46</v>
      </c>
      <c r="J89" s="272">
        <v>43709</v>
      </c>
      <c r="K89" s="272">
        <v>44530</v>
      </c>
      <c r="L89" s="257">
        <v>54000</v>
      </c>
      <c r="M89" s="257">
        <v>17998.2</v>
      </c>
    </row>
    <row r="90" spans="1:13" ht="15.75">
      <c r="A90" s="83">
        <v>507777</v>
      </c>
      <c r="B90" s="238">
        <v>208815</v>
      </c>
      <c r="C90" s="238" t="str">
        <f>Table7[[#This Row],[Fund Number]]&amp;","&amp;Table7[[#This Row],[FC Number]]</f>
        <v>507777,208815</v>
      </c>
      <c r="D90" s="238"/>
      <c r="E90" s="238" t="s">
        <v>519</v>
      </c>
      <c r="F90" s="238" t="s">
        <v>353</v>
      </c>
      <c r="G90" s="238" t="s">
        <v>423</v>
      </c>
      <c r="H90" s="91" t="s">
        <v>315</v>
      </c>
      <c r="I90" s="91" t="s">
        <v>53</v>
      </c>
      <c r="J90" s="272">
        <v>43709</v>
      </c>
      <c r="K90" s="272">
        <v>44530</v>
      </c>
      <c r="L90" s="257">
        <v>48240</v>
      </c>
      <c r="M90" s="257">
        <v>16078.392</v>
      </c>
    </row>
    <row r="91" spans="1:13" ht="15.75">
      <c r="A91" s="83">
        <v>507778</v>
      </c>
      <c r="B91" s="238">
        <v>207444</v>
      </c>
      <c r="C91" s="238" t="str">
        <f>Table7[[#This Row],[Fund Number]]&amp;","&amp;Table7[[#This Row],[FC Number]]</f>
        <v>507778,207444</v>
      </c>
      <c r="D91" s="238"/>
      <c r="E91" s="238" t="s">
        <v>519</v>
      </c>
      <c r="F91" s="238" t="s">
        <v>353</v>
      </c>
      <c r="G91" s="238" t="s">
        <v>348</v>
      </c>
      <c r="H91" s="91" t="s">
        <v>434</v>
      </c>
      <c r="I91" s="91" t="s">
        <v>46</v>
      </c>
      <c r="J91" s="272">
        <v>43709</v>
      </c>
      <c r="K91" s="272">
        <v>44530</v>
      </c>
      <c r="L91" s="257">
        <v>50000</v>
      </c>
      <c r="M91" s="257">
        <v>16665</v>
      </c>
    </row>
    <row r="92" spans="1:13" ht="15.75">
      <c r="A92" s="83">
        <v>507778</v>
      </c>
      <c r="B92" s="83">
        <v>210089</v>
      </c>
      <c r="C92" s="83" t="str">
        <f>Table7[[#This Row],[Fund Number]]&amp;","&amp;Table7[[#This Row],[FC Number]]</f>
        <v>507778,210089</v>
      </c>
      <c r="D92" s="83" t="s">
        <v>516</v>
      </c>
      <c r="E92" s="83" t="s">
        <v>519</v>
      </c>
      <c r="F92" s="238" t="s">
        <v>353</v>
      </c>
      <c r="G92" s="83" t="s">
        <v>428</v>
      </c>
      <c r="H92" s="86" t="s">
        <v>429</v>
      </c>
      <c r="I92" s="244" t="s">
        <v>82</v>
      </c>
      <c r="J92" s="201">
        <v>43709</v>
      </c>
      <c r="K92" s="201">
        <v>44165</v>
      </c>
      <c r="L92" s="255">
        <v>26250</v>
      </c>
      <c r="M92" s="255">
        <v>8749.125</v>
      </c>
    </row>
    <row r="93" spans="1:13" ht="15.75">
      <c r="A93" s="83">
        <v>507778</v>
      </c>
      <c r="B93" s="238">
        <v>210089</v>
      </c>
      <c r="C93" s="238" t="str">
        <f>Table7[[#This Row],[Fund Number]]&amp;","&amp;Table7[[#This Row],[FC Number]]</f>
        <v>507778,210089</v>
      </c>
      <c r="D93" s="238"/>
      <c r="E93" s="238" t="s">
        <v>519</v>
      </c>
      <c r="F93" s="238" t="s">
        <v>353</v>
      </c>
      <c r="G93" s="238" t="s">
        <v>428</v>
      </c>
      <c r="H93" s="91" t="s">
        <v>429</v>
      </c>
      <c r="I93" s="91" t="s">
        <v>82</v>
      </c>
      <c r="J93" s="272">
        <v>43709</v>
      </c>
      <c r="K93" s="272">
        <v>44530</v>
      </c>
      <c r="L93" s="257">
        <v>169000</v>
      </c>
      <c r="M93" s="257">
        <v>56327.7</v>
      </c>
    </row>
    <row r="94" spans="1:13" ht="15.75">
      <c r="A94" s="83">
        <v>507778</v>
      </c>
      <c r="B94" s="238">
        <v>210174</v>
      </c>
      <c r="C94" s="238" t="str">
        <f>Table7[[#This Row],[Fund Number]]&amp;","&amp;Table7[[#This Row],[FC Number]]</f>
        <v>507778,210174</v>
      </c>
      <c r="D94" s="238" t="s">
        <v>516</v>
      </c>
      <c r="E94" s="238" t="s">
        <v>519</v>
      </c>
      <c r="F94" s="238" t="s">
        <v>353</v>
      </c>
      <c r="G94" s="238" t="s">
        <v>377</v>
      </c>
      <c r="H94" s="91" t="s">
        <v>426</v>
      </c>
      <c r="I94" s="91" t="s">
        <v>46</v>
      </c>
      <c r="J94" s="201">
        <v>43709</v>
      </c>
      <c r="K94" s="201">
        <v>44165</v>
      </c>
      <c r="L94" s="257">
        <v>14250</v>
      </c>
      <c r="M94" s="257">
        <v>4749.5249999999996</v>
      </c>
    </row>
    <row r="95" spans="1:13" ht="15.75">
      <c r="A95" s="83">
        <v>507778</v>
      </c>
      <c r="B95" s="238">
        <v>210174</v>
      </c>
      <c r="C95" s="238" t="str">
        <f>Table7[[#This Row],[Fund Number]]&amp;","&amp;Table7[[#This Row],[FC Number]]</f>
        <v>507778,210174</v>
      </c>
      <c r="D95" s="238"/>
      <c r="E95" s="238" t="s">
        <v>519</v>
      </c>
      <c r="F95" s="238" t="s">
        <v>353</v>
      </c>
      <c r="G95" s="238" t="s">
        <v>377</v>
      </c>
      <c r="H95" s="91" t="s">
        <v>427</v>
      </c>
      <c r="I95" s="91" t="s">
        <v>46</v>
      </c>
      <c r="J95" s="272">
        <v>43709</v>
      </c>
      <c r="K95" s="272">
        <v>44530</v>
      </c>
      <c r="L95" s="257">
        <v>66000</v>
      </c>
      <c r="M95" s="257">
        <v>21997.8</v>
      </c>
    </row>
    <row r="96" spans="1:13" ht="15.75">
      <c r="A96" s="83">
        <v>507778</v>
      </c>
      <c r="B96" s="238">
        <v>211058</v>
      </c>
      <c r="C96" s="238" t="str">
        <f>Table7[[#This Row],[Fund Number]]&amp;","&amp;Table7[[#This Row],[FC Number]]</f>
        <v>507778,211058</v>
      </c>
      <c r="D96" s="238" t="s">
        <v>516</v>
      </c>
      <c r="E96" s="238" t="s">
        <v>519</v>
      </c>
      <c r="F96" s="238" t="s">
        <v>353</v>
      </c>
      <c r="G96" s="238" t="s">
        <v>432</v>
      </c>
      <c r="H96" s="91" t="s">
        <v>433</v>
      </c>
      <c r="I96" s="91" t="s">
        <v>46</v>
      </c>
      <c r="J96" s="201">
        <v>43709</v>
      </c>
      <c r="K96" s="201">
        <v>44165</v>
      </c>
      <c r="L96" s="257">
        <v>11875</v>
      </c>
      <c r="M96" s="257">
        <v>3957.9375</v>
      </c>
    </row>
    <row r="97" spans="1:13" ht="15.75">
      <c r="A97" s="83">
        <v>507778</v>
      </c>
      <c r="B97" s="238">
        <v>211058</v>
      </c>
      <c r="C97" s="238" t="str">
        <f>Table7[[#This Row],[Fund Number]]&amp;","&amp;Table7[[#This Row],[FC Number]]</f>
        <v>507778,211058</v>
      </c>
      <c r="D97" s="238"/>
      <c r="E97" s="238" t="s">
        <v>519</v>
      </c>
      <c r="F97" s="238" t="s">
        <v>353</v>
      </c>
      <c r="G97" s="238" t="s">
        <v>432</v>
      </c>
      <c r="H97" s="91" t="s">
        <v>433</v>
      </c>
      <c r="I97" s="91" t="s">
        <v>46</v>
      </c>
      <c r="J97" s="272">
        <v>43709</v>
      </c>
      <c r="K97" s="272">
        <v>44530</v>
      </c>
      <c r="L97" s="257">
        <v>76000</v>
      </c>
      <c r="M97" s="257">
        <v>25330.799999999999</v>
      </c>
    </row>
    <row r="98" spans="1:13" ht="15.75">
      <c r="A98" s="83">
        <v>507778</v>
      </c>
      <c r="B98" s="238">
        <v>212343</v>
      </c>
      <c r="C98" s="238" t="str">
        <f>Table7[[#This Row],[Fund Number]]&amp;","&amp;Table7[[#This Row],[FC Number]]</f>
        <v>507778,212343</v>
      </c>
      <c r="D98" s="238" t="s">
        <v>516</v>
      </c>
      <c r="E98" s="238" t="s">
        <v>519</v>
      </c>
      <c r="F98" s="238" t="s">
        <v>353</v>
      </c>
      <c r="G98" s="238" t="s">
        <v>430</v>
      </c>
      <c r="H98" s="91" t="s">
        <v>431</v>
      </c>
      <c r="I98" s="91" t="s">
        <v>82</v>
      </c>
      <c r="J98" s="201">
        <v>43709</v>
      </c>
      <c r="K98" s="201">
        <v>44165</v>
      </c>
      <c r="L98" s="257">
        <v>25750</v>
      </c>
      <c r="M98" s="257">
        <v>8582.4750000000004</v>
      </c>
    </row>
    <row r="99" spans="1:13" ht="15.75">
      <c r="A99" s="83">
        <v>507778</v>
      </c>
      <c r="B99" s="238">
        <v>212343</v>
      </c>
      <c r="C99" s="238" t="str">
        <f>Table7[[#This Row],[Fund Number]]&amp;","&amp;Table7[[#This Row],[FC Number]]</f>
        <v>507778,212343</v>
      </c>
      <c r="D99" s="238"/>
      <c r="E99" s="238" t="s">
        <v>519</v>
      </c>
      <c r="F99" s="238" t="s">
        <v>353</v>
      </c>
      <c r="G99" s="238" t="s">
        <v>430</v>
      </c>
      <c r="H99" s="91" t="s">
        <v>431</v>
      </c>
      <c r="I99" s="91" t="s">
        <v>82</v>
      </c>
      <c r="J99" s="272">
        <v>43709</v>
      </c>
      <c r="K99" s="272">
        <v>44530</v>
      </c>
      <c r="L99" s="257">
        <v>139000</v>
      </c>
      <c r="M99" s="257">
        <v>46328.7</v>
      </c>
    </row>
    <row r="100" spans="1:13" ht="15.75">
      <c r="A100" s="83">
        <v>507779</v>
      </c>
      <c r="B100" s="238">
        <v>200037</v>
      </c>
      <c r="C100" s="238" t="str">
        <f>Table7[[#This Row],[Fund Number]]&amp;","&amp;Table7[[#This Row],[FC Number]]</f>
        <v>507779,200037</v>
      </c>
      <c r="D100" s="238"/>
      <c r="E100" s="238" t="s">
        <v>519</v>
      </c>
      <c r="F100" s="238" t="s">
        <v>353</v>
      </c>
      <c r="G100" s="238" t="s">
        <v>438</v>
      </c>
      <c r="H100" s="91" t="s">
        <v>439</v>
      </c>
      <c r="I100" s="91" t="s">
        <v>75</v>
      </c>
      <c r="J100" s="272">
        <v>43709</v>
      </c>
      <c r="K100" s="272">
        <v>44530</v>
      </c>
      <c r="L100" s="257">
        <v>95000</v>
      </c>
      <c r="M100" s="257">
        <v>31663.5</v>
      </c>
    </row>
    <row r="101" spans="1:13" ht="15.75">
      <c r="A101" s="83">
        <v>507779</v>
      </c>
      <c r="B101" s="238">
        <v>208609</v>
      </c>
      <c r="C101" s="238" t="str">
        <f>Table7[[#This Row],[Fund Number]]&amp;","&amp;Table7[[#This Row],[FC Number]]</f>
        <v>507779,208609</v>
      </c>
      <c r="D101" s="238"/>
      <c r="E101" s="238" t="s">
        <v>519</v>
      </c>
      <c r="F101" s="238" t="s">
        <v>353</v>
      </c>
      <c r="G101" s="238" t="s">
        <v>435</v>
      </c>
      <c r="H101" s="91" t="s">
        <v>436</v>
      </c>
      <c r="I101" s="91" t="s">
        <v>82</v>
      </c>
      <c r="J101" s="272">
        <v>43709</v>
      </c>
      <c r="K101" s="272">
        <v>44530</v>
      </c>
      <c r="L101" s="257">
        <v>200000</v>
      </c>
      <c r="M101" s="257">
        <v>66660</v>
      </c>
    </row>
    <row r="102" spans="1:13" ht="15.75">
      <c r="A102" s="83">
        <v>507779</v>
      </c>
      <c r="B102" s="238">
        <v>208616</v>
      </c>
      <c r="C102" s="238" t="str">
        <f>Table7[[#This Row],[Fund Number]]&amp;","&amp;Table7[[#This Row],[FC Number]]</f>
        <v>507779,208616</v>
      </c>
      <c r="D102" s="238"/>
      <c r="E102" s="238" t="s">
        <v>519</v>
      </c>
      <c r="F102" s="238" t="s">
        <v>353</v>
      </c>
      <c r="G102" s="238" t="s">
        <v>437</v>
      </c>
      <c r="H102" s="91" t="s">
        <v>334</v>
      </c>
      <c r="I102" s="91" t="s">
        <v>53</v>
      </c>
      <c r="J102" s="272">
        <v>43709</v>
      </c>
      <c r="K102" s="272">
        <v>44530</v>
      </c>
      <c r="L102" s="257">
        <v>80000</v>
      </c>
      <c r="M102" s="257">
        <v>26664</v>
      </c>
    </row>
    <row r="103" spans="1:13" ht="15.75">
      <c r="A103" s="83">
        <v>507779</v>
      </c>
      <c r="B103" s="238">
        <v>208630</v>
      </c>
      <c r="C103" s="238" t="str">
        <f>Table7[[#This Row],[Fund Number]]&amp;","&amp;Table7[[#This Row],[FC Number]]</f>
        <v>507779,208630</v>
      </c>
      <c r="D103" s="238"/>
      <c r="E103" s="238" t="s">
        <v>519</v>
      </c>
      <c r="F103" s="238" t="s">
        <v>353</v>
      </c>
      <c r="G103" s="238" t="s">
        <v>440</v>
      </c>
      <c r="H103" s="91" t="s">
        <v>329</v>
      </c>
      <c r="I103" s="91" t="s">
        <v>53</v>
      </c>
      <c r="J103" s="272">
        <v>43709</v>
      </c>
      <c r="K103" s="272">
        <v>44530</v>
      </c>
      <c r="L103" s="257">
        <v>75000</v>
      </c>
      <c r="M103" s="257">
        <v>24997.5</v>
      </c>
    </row>
    <row r="104" spans="1:13" ht="15.75">
      <c r="A104" s="83">
        <v>507779</v>
      </c>
      <c r="B104" s="238">
        <v>208631</v>
      </c>
      <c r="C104" s="238" t="str">
        <f>Table7[[#This Row],[Fund Number]]&amp;","&amp;Table7[[#This Row],[FC Number]]</f>
        <v>507779,208631</v>
      </c>
      <c r="D104" s="238"/>
      <c r="E104" s="238" t="s">
        <v>519</v>
      </c>
      <c r="F104" s="238" t="s">
        <v>353</v>
      </c>
      <c r="G104" s="238" t="s">
        <v>443</v>
      </c>
      <c r="H104" s="91" t="s">
        <v>444</v>
      </c>
      <c r="I104" s="91" t="s">
        <v>53</v>
      </c>
      <c r="J104" s="272">
        <v>43709</v>
      </c>
      <c r="K104" s="272">
        <v>44530</v>
      </c>
      <c r="L104" s="257">
        <v>50000</v>
      </c>
      <c r="M104" s="257">
        <v>16665</v>
      </c>
    </row>
    <row r="105" spans="1:13" ht="15.75">
      <c r="A105" s="83">
        <v>507779</v>
      </c>
      <c r="B105" s="238">
        <v>208750</v>
      </c>
      <c r="C105" s="238" t="str">
        <f>Table7[[#This Row],[Fund Number]]&amp;","&amp;Table7[[#This Row],[FC Number]]</f>
        <v>507779,208750</v>
      </c>
      <c r="D105" s="238"/>
      <c r="E105" s="238" t="s">
        <v>519</v>
      </c>
      <c r="F105" s="238" t="s">
        <v>353</v>
      </c>
      <c r="G105" s="238" t="s">
        <v>441</v>
      </c>
      <c r="H105" s="91" t="s">
        <v>336</v>
      </c>
      <c r="I105" s="91" t="s">
        <v>53</v>
      </c>
      <c r="J105" s="272">
        <v>43709</v>
      </c>
      <c r="K105" s="272">
        <v>44530</v>
      </c>
      <c r="L105" s="257">
        <v>70000</v>
      </c>
      <c r="M105" s="257">
        <v>23331</v>
      </c>
    </row>
    <row r="106" spans="1:13" ht="15.75">
      <c r="A106" s="83">
        <v>507779</v>
      </c>
      <c r="B106" s="238">
        <v>209346</v>
      </c>
      <c r="C106" s="238" t="str">
        <f>Table7[[#This Row],[Fund Number]]&amp;","&amp;Table7[[#This Row],[FC Number]]</f>
        <v>507779,209346</v>
      </c>
      <c r="D106" s="238"/>
      <c r="E106" s="238" t="s">
        <v>519</v>
      </c>
      <c r="F106" s="238" t="s">
        <v>353</v>
      </c>
      <c r="G106" s="238" t="s">
        <v>442</v>
      </c>
      <c r="H106" s="91" t="s">
        <v>327</v>
      </c>
      <c r="I106" s="91" t="s">
        <v>53</v>
      </c>
      <c r="J106" s="272">
        <v>43709</v>
      </c>
      <c r="K106" s="272">
        <v>44530</v>
      </c>
      <c r="L106" s="257">
        <v>80000</v>
      </c>
      <c r="M106" s="257">
        <v>26664</v>
      </c>
    </row>
    <row r="107" spans="1:13" ht="15.75">
      <c r="A107" s="83">
        <v>507782</v>
      </c>
      <c r="B107" s="83">
        <v>202616</v>
      </c>
      <c r="C107" s="83" t="str">
        <f>Table7[[#This Row],[Fund Number]]&amp;","&amp;Table7[[#This Row],[FC Number]]</f>
        <v>507782,202616</v>
      </c>
      <c r="D107" s="83"/>
      <c r="E107" s="83" t="s">
        <v>520</v>
      </c>
      <c r="F107" s="83" t="s">
        <v>6</v>
      </c>
      <c r="G107" s="83" t="s">
        <v>47</v>
      </c>
      <c r="H107" s="86" t="s">
        <v>346</v>
      </c>
      <c r="I107" s="86" t="s">
        <v>46</v>
      </c>
      <c r="J107" s="266">
        <v>44075</v>
      </c>
      <c r="K107" s="201">
        <v>44439</v>
      </c>
      <c r="L107" s="255">
        <v>300000</v>
      </c>
      <c r="M107" s="255">
        <v>99990</v>
      </c>
    </row>
    <row r="108" spans="1:13" ht="15.75">
      <c r="A108" s="83">
        <v>508292</v>
      </c>
      <c r="B108" s="238">
        <v>211058</v>
      </c>
      <c r="C108" s="238" t="str">
        <f>Table7[[#This Row],[Fund Number]]&amp;","&amp;Table7[[#This Row],[FC Number]]</f>
        <v>508292,211058</v>
      </c>
      <c r="D108" s="238" t="s">
        <v>516</v>
      </c>
      <c r="E108" s="238" t="s">
        <v>519</v>
      </c>
      <c r="F108" s="238" t="s">
        <v>353</v>
      </c>
      <c r="G108" s="238" t="s">
        <v>432</v>
      </c>
      <c r="H108" s="91" t="s">
        <v>338</v>
      </c>
      <c r="I108" s="91" t="s">
        <v>46</v>
      </c>
      <c r="J108" s="272">
        <v>43709</v>
      </c>
      <c r="K108" s="272">
        <v>43901</v>
      </c>
      <c r="L108" s="257">
        <v>18750</v>
      </c>
      <c r="M108" s="257">
        <v>6249.375</v>
      </c>
    </row>
    <row r="109" spans="1:13" ht="15.75">
      <c r="A109" s="83">
        <v>508292</v>
      </c>
      <c r="B109" s="238">
        <v>211058</v>
      </c>
      <c r="C109" s="238" t="str">
        <f>Table7[[#This Row],[Fund Number]]&amp;","&amp;Table7[[#This Row],[FC Number]]</f>
        <v>508292,211058</v>
      </c>
      <c r="D109" s="238"/>
      <c r="E109" s="238" t="s">
        <v>519</v>
      </c>
      <c r="F109" s="238" t="s">
        <v>353</v>
      </c>
      <c r="G109" s="238" t="s">
        <v>432</v>
      </c>
      <c r="H109" s="91" t="s">
        <v>445</v>
      </c>
      <c r="I109" s="91" t="s">
        <v>46</v>
      </c>
      <c r="J109" s="272">
        <v>43709</v>
      </c>
      <c r="K109" s="272">
        <v>44530</v>
      </c>
      <c r="L109" s="257">
        <v>100000</v>
      </c>
      <c r="M109" s="257">
        <v>33330</v>
      </c>
    </row>
    <row r="110" spans="1:13" ht="15.75">
      <c r="A110" s="96">
        <v>509180</v>
      </c>
      <c r="B110" s="83">
        <v>209792</v>
      </c>
      <c r="C110" s="83" t="str">
        <f>Table7[[#This Row],[Fund Number]]&amp;","&amp;Table7[[#This Row],[FC Number]]</f>
        <v>509180,209792</v>
      </c>
      <c r="D110" s="83"/>
      <c r="E110" s="83" t="s">
        <v>518</v>
      </c>
      <c r="F110" s="90" t="s">
        <v>8</v>
      </c>
      <c r="G110" s="83" t="s">
        <v>450</v>
      </c>
      <c r="H110" s="86" t="s">
        <v>451</v>
      </c>
      <c r="I110" s="86" t="s">
        <v>46</v>
      </c>
      <c r="J110" s="266">
        <v>43952</v>
      </c>
      <c r="K110" s="266">
        <v>44805</v>
      </c>
      <c r="L110" s="257">
        <v>165101</v>
      </c>
      <c r="M110" s="255">
        <v>55028.1633</v>
      </c>
    </row>
    <row r="111" spans="1:13" ht="15.75">
      <c r="A111" s="96">
        <v>509181</v>
      </c>
      <c r="B111" s="83">
        <v>209792</v>
      </c>
      <c r="C111" s="83" t="str">
        <f>Table7[[#This Row],[Fund Number]]&amp;","&amp;Table7[[#This Row],[FC Number]]</f>
        <v>509181,209792</v>
      </c>
      <c r="D111" s="83" t="s">
        <v>516</v>
      </c>
      <c r="E111" s="83" t="s">
        <v>518</v>
      </c>
      <c r="F111" s="90" t="s">
        <v>8</v>
      </c>
      <c r="G111" s="83" t="s">
        <v>450</v>
      </c>
      <c r="H111" s="86" t="s">
        <v>451</v>
      </c>
      <c r="I111" s="86" t="s">
        <v>46</v>
      </c>
      <c r="J111" s="266">
        <v>43952</v>
      </c>
      <c r="K111" s="266">
        <v>44805</v>
      </c>
      <c r="L111" s="255">
        <v>608571</v>
      </c>
      <c r="M111" s="255">
        <v>202836.71429999999</v>
      </c>
    </row>
    <row r="112" spans="1:13" ht="15.75">
      <c r="A112" s="96">
        <v>509181</v>
      </c>
      <c r="B112" s="83">
        <v>209792</v>
      </c>
      <c r="C112" s="83" t="str">
        <f>Table7[[#This Row],[Fund Number]]&amp;","&amp;Table7[[#This Row],[FC Number]]</f>
        <v>509181,209792</v>
      </c>
      <c r="D112" s="83" t="s">
        <v>516</v>
      </c>
      <c r="E112" s="83" t="s">
        <v>518</v>
      </c>
      <c r="F112" s="90" t="s">
        <v>8</v>
      </c>
      <c r="G112" s="83" t="s">
        <v>450</v>
      </c>
      <c r="H112" s="86" t="s">
        <v>451</v>
      </c>
      <c r="I112" s="86" t="s">
        <v>46</v>
      </c>
      <c r="J112" s="201">
        <v>43952</v>
      </c>
      <c r="K112" s="201">
        <v>44805</v>
      </c>
      <c r="L112" s="255">
        <v>-445000</v>
      </c>
      <c r="M112" s="255">
        <v>-148318.5</v>
      </c>
    </row>
    <row r="113" spans="1:13" ht="15.75">
      <c r="A113" s="83">
        <v>509181</v>
      </c>
      <c r="B113" s="238">
        <v>209792</v>
      </c>
      <c r="C113" s="238" t="str">
        <f>Table7[[#This Row],[Fund Number]]&amp;","&amp;Table7[[#This Row],[FC Number]]</f>
        <v>509181,209792</v>
      </c>
      <c r="D113" s="238"/>
      <c r="E113" s="238" t="s">
        <v>518</v>
      </c>
      <c r="F113" s="90" t="s">
        <v>8</v>
      </c>
      <c r="G113" s="238" t="s">
        <v>450</v>
      </c>
      <c r="H113" s="86" t="s">
        <v>451</v>
      </c>
      <c r="I113" s="86" t="s">
        <v>46</v>
      </c>
      <c r="J113" s="201">
        <v>43952</v>
      </c>
      <c r="K113" s="201">
        <v>44805</v>
      </c>
      <c r="L113" s="257">
        <v>445000</v>
      </c>
      <c r="M113" s="257">
        <v>148318.5</v>
      </c>
    </row>
    <row r="114" spans="1:13" ht="15.75">
      <c r="A114" s="83">
        <v>509284</v>
      </c>
      <c r="B114" s="83">
        <v>206595</v>
      </c>
      <c r="C114" s="83" t="str">
        <f>Table7[[#This Row],[Fund Number]]&amp;","&amp;Table7[[#This Row],[FC Number]]</f>
        <v>509284,206595</v>
      </c>
      <c r="D114" s="83"/>
      <c r="E114" s="83" t="s">
        <v>517</v>
      </c>
      <c r="F114" s="83" t="s">
        <v>488</v>
      </c>
      <c r="G114" s="83" t="s">
        <v>368</v>
      </c>
      <c r="H114" s="86" t="s">
        <v>502</v>
      </c>
      <c r="I114" s="86" t="s">
        <v>46</v>
      </c>
      <c r="J114" s="266">
        <v>44013</v>
      </c>
      <c r="K114" s="266">
        <v>44377</v>
      </c>
      <c r="L114" s="255">
        <v>75000</v>
      </c>
      <c r="M114" s="255">
        <v>24997.5</v>
      </c>
    </row>
    <row r="115" spans="1:13" ht="15.75">
      <c r="A115" s="83">
        <v>509285</v>
      </c>
      <c r="B115" s="83">
        <v>209801</v>
      </c>
      <c r="C115" s="83" t="str">
        <f>Table7[[#This Row],[Fund Number]]&amp;","&amp;Table7[[#This Row],[FC Number]]</f>
        <v>509285,209801</v>
      </c>
      <c r="D115" s="83"/>
      <c r="E115" s="83" t="s">
        <v>517</v>
      </c>
      <c r="F115" s="83" t="s">
        <v>488</v>
      </c>
      <c r="G115" s="83" t="s">
        <v>503</v>
      </c>
      <c r="H115" s="86" t="s">
        <v>504</v>
      </c>
      <c r="I115" s="86" t="s">
        <v>68</v>
      </c>
      <c r="J115" s="266">
        <v>44013</v>
      </c>
      <c r="K115" s="266">
        <v>44377</v>
      </c>
      <c r="L115" s="255">
        <v>75000</v>
      </c>
      <c r="M115" s="255">
        <v>24997.5</v>
      </c>
    </row>
    <row r="116" spans="1:13" ht="15.75">
      <c r="A116" s="83">
        <v>509588</v>
      </c>
      <c r="B116" s="238">
        <v>208607</v>
      </c>
      <c r="C116" s="238" t="str">
        <f>Table7[[#This Row],[Fund Number]]&amp;","&amp;Table7[[#This Row],[FC Number]]</f>
        <v>509588,208607</v>
      </c>
      <c r="D116" s="238" t="s">
        <v>516</v>
      </c>
      <c r="E116" s="238" t="s">
        <v>517</v>
      </c>
      <c r="F116" s="83" t="s">
        <v>488</v>
      </c>
      <c r="G116" s="238" t="s">
        <v>391</v>
      </c>
      <c r="H116" s="86" t="s">
        <v>505</v>
      </c>
      <c r="I116" s="86" t="s">
        <v>53</v>
      </c>
      <c r="J116" s="266">
        <v>44013</v>
      </c>
      <c r="K116" s="266">
        <v>44377</v>
      </c>
      <c r="L116" s="255">
        <v>75000</v>
      </c>
      <c r="M116" s="255">
        <v>24997.5</v>
      </c>
    </row>
    <row r="117" spans="1:13" ht="15.75">
      <c r="A117" s="83">
        <v>509588</v>
      </c>
      <c r="B117" s="238">
        <v>208607</v>
      </c>
      <c r="C117" s="238" t="str">
        <f>Table7[[#This Row],[Fund Number]]&amp;","&amp;Table7[[#This Row],[FC Number]]</f>
        <v>509588,208607</v>
      </c>
      <c r="D117" s="238"/>
      <c r="E117" s="238" t="s">
        <v>517</v>
      </c>
      <c r="F117" s="83" t="s">
        <v>488</v>
      </c>
      <c r="G117" s="238" t="s">
        <v>391</v>
      </c>
      <c r="H117" s="91" t="s">
        <v>506</v>
      </c>
      <c r="I117" s="91" t="s">
        <v>53</v>
      </c>
      <c r="J117" s="272">
        <v>44013</v>
      </c>
      <c r="K117" s="272">
        <v>44298</v>
      </c>
      <c r="L117" s="257">
        <v>-10024.83</v>
      </c>
      <c r="M117" s="257">
        <v>-3341.2758389999999</v>
      </c>
    </row>
    <row r="118" spans="1:13" ht="15.75">
      <c r="A118" s="83">
        <v>509589</v>
      </c>
      <c r="B118" s="83">
        <v>212183</v>
      </c>
      <c r="C118" s="83" t="str">
        <f>Table7[[#This Row],[Fund Number]]&amp;","&amp;Table7[[#This Row],[FC Number]]</f>
        <v>509589,212183</v>
      </c>
      <c r="D118" s="83"/>
      <c r="E118" s="83" t="s">
        <v>517</v>
      </c>
      <c r="F118" s="83" t="s">
        <v>488</v>
      </c>
      <c r="G118" s="83" t="s">
        <v>464</v>
      </c>
      <c r="H118" s="86" t="s">
        <v>507</v>
      </c>
      <c r="I118" s="86" t="s">
        <v>68</v>
      </c>
      <c r="J118" s="266">
        <v>44075</v>
      </c>
      <c r="K118" s="266">
        <v>44438</v>
      </c>
      <c r="L118" s="255">
        <v>75000</v>
      </c>
      <c r="M118" s="255">
        <v>24997.5</v>
      </c>
    </row>
    <row r="119" spans="1:13" ht="15.75">
      <c r="A119" s="83">
        <v>509633</v>
      </c>
      <c r="B119" s="83">
        <v>209400</v>
      </c>
      <c r="C119" s="83" t="str">
        <f>Table7[[#This Row],[Fund Number]]&amp;","&amp;Table7[[#This Row],[FC Number]]</f>
        <v>509633,209400</v>
      </c>
      <c r="D119" s="83" t="s">
        <v>516</v>
      </c>
      <c r="E119" s="83" t="s">
        <v>19</v>
      </c>
      <c r="F119" s="238" t="s">
        <v>19</v>
      </c>
      <c r="G119" s="83" t="s">
        <v>343</v>
      </c>
      <c r="H119" s="86" t="s">
        <v>471</v>
      </c>
      <c r="I119" s="86" t="s">
        <v>46</v>
      </c>
      <c r="J119" s="201">
        <v>44044</v>
      </c>
      <c r="K119" s="201">
        <v>44408</v>
      </c>
      <c r="L119" s="255">
        <v>100000</v>
      </c>
      <c r="M119" s="255">
        <v>33330</v>
      </c>
    </row>
    <row r="120" spans="1:13" ht="15.75">
      <c r="A120" s="83">
        <v>509633</v>
      </c>
      <c r="B120" s="83">
        <v>209400</v>
      </c>
      <c r="C120" s="83" t="str">
        <f>Table7[[#This Row],[Fund Number]]&amp;","&amp;Table7[[#This Row],[FC Number]]</f>
        <v>509633,209400</v>
      </c>
      <c r="D120" s="83" t="s">
        <v>516</v>
      </c>
      <c r="E120" s="83" t="s">
        <v>19</v>
      </c>
      <c r="F120" s="238" t="s">
        <v>19</v>
      </c>
      <c r="G120" s="83" t="s">
        <v>343</v>
      </c>
      <c r="H120" s="86" t="s">
        <v>471</v>
      </c>
      <c r="I120" s="86" t="s">
        <v>46</v>
      </c>
      <c r="J120" s="201">
        <v>44044</v>
      </c>
      <c r="K120" s="201">
        <v>44408</v>
      </c>
      <c r="L120" s="255">
        <v>-64100</v>
      </c>
      <c r="M120" s="257">
        <v>-21364.53</v>
      </c>
    </row>
    <row r="121" spans="1:13" ht="15.75">
      <c r="A121" s="83">
        <v>509633</v>
      </c>
      <c r="B121" s="238">
        <v>209400</v>
      </c>
      <c r="C121" s="238" t="str">
        <f>Table7[[#This Row],[Fund Number]]&amp;","&amp;Table7[[#This Row],[FC Number]]</f>
        <v>509633,209400</v>
      </c>
      <c r="D121" s="238"/>
      <c r="E121" s="238" t="s">
        <v>19</v>
      </c>
      <c r="F121" s="238" t="s">
        <v>19</v>
      </c>
      <c r="G121" s="238" t="s">
        <v>343</v>
      </c>
      <c r="H121" s="91" t="s">
        <v>471</v>
      </c>
      <c r="I121" s="91" t="s">
        <v>46</v>
      </c>
      <c r="J121" s="272">
        <v>44044</v>
      </c>
      <c r="K121" s="272">
        <v>44408</v>
      </c>
      <c r="L121" s="257">
        <v>64100</v>
      </c>
      <c r="M121" s="257">
        <v>21364.53</v>
      </c>
    </row>
    <row r="122" spans="1:13" ht="15.75">
      <c r="A122" s="83">
        <v>509653</v>
      </c>
      <c r="B122" s="83">
        <v>207233</v>
      </c>
      <c r="C122" s="83" t="str">
        <f>Table7[[#This Row],[Fund Number]]&amp;","&amp;Table7[[#This Row],[FC Number]]</f>
        <v>509653,207233</v>
      </c>
      <c r="D122" s="83"/>
      <c r="E122" s="83" t="s">
        <v>19</v>
      </c>
      <c r="F122" s="238" t="s">
        <v>19</v>
      </c>
      <c r="G122" s="83" t="s">
        <v>373</v>
      </c>
      <c r="H122" s="86" t="s">
        <v>215</v>
      </c>
      <c r="I122" s="86" t="s">
        <v>46</v>
      </c>
      <c r="J122" s="201">
        <v>44044</v>
      </c>
      <c r="K122" s="201">
        <v>44408</v>
      </c>
      <c r="L122" s="255">
        <v>10000</v>
      </c>
      <c r="M122" s="255">
        <v>3333</v>
      </c>
    </row>
    <row r="123" spans="1:13" ht="15.75">
      <c r="A123" s="83">
        <v>509653</v>
      </c>
      <c r="B123" s="83">
        <v>209194</v>
      </c>
      <c r="C123" s="83" t="str">
        <f>Table7[[#This Row],[Fund Number]]&amp;","&amp;Table7[[#This Row],[FC Number]]</f>
        <v>509653,209194</v>
      </c>
      <c r="D123" s="83"/>
      <c r="E123" s="83" t="s">
        <v>19</v>
      </c>
      <c r="F123" s="238" t="s">
        <v>19</v>
      </c>
      <c r="G123" s="83" t="s">
        <v>472</v>
      </c>
      <c r="H123" s="86" t="s">
        <v>473</v>
      </c>
      <c r="I123" s="86" t="s">
        <v>46</v>
      </c>
      <c r="J123" s="201">
        <v>44044</v>
      </c>
      <c r="K123" s="201">
        <v>44408</v>
      </c>
      <c r="L123" s="255">
        <v>90000</v>
      </c>
      <c r="M123" s="255">
        <v>29997</v>
      </c>
    </row>
    <row r="124" spans="1:13" ht="15.75">
      <c r="A124" s="83">
        <v>509666</v>
      </c>
      <c r="B124" s="83">
        <v>208489</v>
      </c>
      <c r="C124" s="83" t="str">
        <f>Table7[[#This Row],[Fund Number]]&amp;","&amp;Table7[[#This Row],[FC Number]]</f>
        <v>509666,208489</v>
      </c>
      <c r="D124" s="83"/>
      <c r="E124" s="83" t="s">
        <v>19</v>
      </c>
      <c r="F124" s="238" t="s">
        <v>19</v>
      </c>
      <c r="G124" s="83" t="s">
        <v>395</v>
      </c>
      <c r="H124" s="86" t="s">
        <v>219</v>
      </c>
      <c r="I124" s="86" t="s">
        <v>68</v>
      </c>
      <c r="J124" s="201">
        <v>44044</v>
      </c>
      <c r="K124" s="201">
        <v>44408</v>
      </c>
      <c r="L124" s="255">
        <v>33000</v>
      </c>
      <c r="M124" s="255">
        <v>10998.9</v>
      </c>
    </row>
    <row r="125" spans="1:13" ht="15.75">
      <c r="A125" s="83">
        <v>509666</v>
      </c>
      <c r="B125" s="83">
        <v>208810</v>
      </c>
      <c r="C125" s="83" t="str">
        <f>Table7[[#This Row],[Fund Number]]&amp;","&amp;Table7[[#This Row],[FC Number]]</f>
        <v>509666,208810</v>
      </c>
      <c r="D125" s="83"/>
      <c r="E125" s="83" t="s">
        <v>19</v>
      </c>
      <c r="F125" s="238" t="s">
        <v>19</v>
      </c>
      <c r="G125" s="83" t="s">
        <v>398</v>
      </c>
      <c r="H125" s="86" t="s">
        <v>220</v>
      </c>
      <c r="I125" s="86" t="s">
        <v>53</v>
      </c>
      <c r="J125" s="201">
        <v>44044</v>
      </c>
      <c r="K125" s="201">
        <v>44408</v>
      </c>
      <c r="L125" s="255">
        <v>23000</v>
      </c>
      <c r="M125" s="255">
        <v>7665.9</v>
      </c>
    </row>
    <row r="126" spans="1:13" ht="15.75">
      <c r="A126" s="83">
        <v>509666</v>
      </c>
      <c r="B126" s="83">
        <v>209438</v>
      </c>
      <c r="C126" s="83" t="str">
        <f>Table7[[#This Row],[Fund Number]]&amp;","&amp;Table7[[#This Row],[FC Number]]</f>
        <v>509666,209438</v>
      </c>
      <c r="D126" s="83"/>
      <c r="E126" s="83" t="s">
        <v>19</v>
      </c>
      <c r="F126" s="238" t="s">
        <v>19</v>
      </c>
      <c r="G126" s="83" t="s">
        <v>457</v>
      </c>
      <c r="H126" s="86" t="s">
        <v>474</v>
      </c>
      <c r="I126" s="86" t="s">
        <v>46</v>
      </c>
      <c r="J126" s="201">
        <v>44044</v>
      </c>
      <c r="K126" s="201">
        <v>44408</v>
      </c>
      <c r="L126" s="255">
        <v>44000</v>
      </c>
      <c r="M126" s="255">
        <v>14665.199999999999</v>
      </c>
    </row>
    <row r="127" spans="1:13" ht="15.75">
      <c r="A127" s="83">
        <v>509667</v>
      </c>
      <c r="B127" s="83">
        <v>209936</v>
      </c>
      <c r="C127" s="83" t="str">
        <f>Table7[[#This Row],[Fund Number]]&amp;","&amp;Table7[[#This Row],[FC Number]]</f>
        <v>509667,209936</v>
      </c>
      <c r="D127" s="83"/>
      <c r="E127" s="83" t="s">
        <v>19</v>
      </c>
      <c r="F127" s="238" t="s">
        <v>19</v>
      </c>
      <c r="G127" s="83" t="s">
        <v>475</v>
      </c>
      <c r="H127" s="86" t="s">
        <v>222</v>
      </c>
      <c r="I127" s="86" t="s">
        <v>68</v>
      </c>
      <c r="J127" s="201">
        <v>44044</v>
      </c>
      <c r="K127" s="201">
        <v>44408</v>
      </c>
      <c r="L127" s="255">
        <v>100000</v>
      </c>
      <c r="M127" s="255">
        <v>33330</v>
      </c>
    </row>
    <row r="128" spans="1:13" ht="15.75">
      <c r="A128" s="83">
        <v>509703</v>
      </c>
      <c r="B128" s="83">
        <v>200483</v>
      </c>
      <c r="C128" s="83" t="str">
        <f>Table7[[#This Row],[Fund Number]]&amp;","&amp;Table7[[#This Row],[FC Number]]</f>
        <v>509703,200483</v>
      </c>
      <c r="D128" s="83"/>
      <c r="E128" s="83" t="s">
        <v>19</v>
      </c>
      <c r="F128" s="238" t="s">
        <v>19</v>
      </c>
      <c r="G128" s="83" t="s">
        <v>476</v>
      </c>
      <c r="H128" s="86" t="s">
        <v>477</v>
      </c>
      <c r="I128" s="86" t="s">
        <v>68</v>
      </c>
      <c r="J128" s="201">
        <v>44044</v>
      </c>
      <c r="K128" s="201">
        <v>44408</v>
      </c>
      <c r="L128" s="255">
        <v>20000</v>
      </c>
      <c r="M128" s="255">
        <v>6666</v>
      </c>
    </row>
    <row r="129" spans="1:13" ht="15.75">
      <c r="A129" s="83">
        <v>509703</v>
      </c>
      <c r="B129" s="83">
        <v>209946</v>
      </c>
      <c r="C129" s="83" t="str">
        <f>Table7[[#This Row],[Fund Number]]&amp;","&amp;Table7[[#This Row],[FC Number]]</f>
        <v>509703,209946</v>
      </c>
      <c r="D129" s="83"/>
      <c r="E129" s="83" t="s">
        <v>19</v>
      </c>
      <c r="F129" s="238" t="s">
        <v>19</v>
      </c>
      <c r="G129" s="83" t="s">
        <v>478</v>
      </c>
      <c r="H129" s="86" t="s">
        <v>479</v>
      </c>
      <c r="I129" s="86" t="s">
        <v>68</v>
      </c>
      <c r="J129" s="201">
        <v>44044</v>
      </c>
      <c r="K129" s="201">
        <v>44408</v>
      </c>
      <c r="L129" s="255">
        <v>80000</v>
      </c>
      <c r="M129" s="255">
        <v>26664</v>
      </c>
    </row>
    <row r="130" spans="1:13" ht="15.75">
      <c r="A130" s="83">
        <v>509882</v>
      </c>
      <c r="B130" s="83">
        <v>206244</v>
      </c>
      <c r="C130" s="83" t="str">
        <f>Table7[[#This Row],[Fund Number]]&amp;","&amp;Table7[[#This Row],[FC Number]]</f>
        <v>509882,206244</v>
      </c>
      <c r="D130" s="83"/>
      <c r="E130" s="83" t="s">
        <v>19</v>
      </c>
      <c r="F130" s="238" t="s">
        <v>19</v>
      </c>
      <c r="G130" s="83" t="s">
        <v>480</v>
      </c>
      <c r="H130" s="86" t="s">
        <v>481</v>
      </c>
      <c r="I130" s="86" t="s">
        <v>46</v>
      </c>
      <c r="J130" s="201">
        <v>44044</v>
      </c>
      <c r="K130" s="201">
        <v>44408</v>
      </c>
      <c r="L130" s="255">
        <v>19335</v>
      </c>
      <c r="M130" s="255">
        <v>6444.3554999999997</v>
      </c>
    </row>
    <row r="131" spans="1:13" ht="15.75">
      <c r="A131" s="83">
        <v>509882</v>
      </c>
      <c r="B131" s="83">
        <v>208725</v>
      </c>
      <c r="C131" s="83" t="str">
        <f>Table7[[#This Row],[Fund Number]]&amp;","&amp;Table7[[#This Row],[FC Number]]</f>
        <v>509882,208725</v>
      </c>
      <c r="D131" s="83"/>
      <c r="E131" s="83" t="s">
        <v>19</v>
      </c>
      <c r="F131" s="238" t="s">
        <v>19</v>
      </c>
      <c r="G131" s="83" t="s">
        <v>482</v>
      </c>
      <c r="H131" s="86" t="s">
        <v>483</v>
      </c>
      <c r="I131" s="86" t="s">
        <v>68</v>
      </c>
      <c r="J131" s="201">
        <v>44044</v>
      </c>
      <c r="K131" s="201">
        <v>44408</v>
      </c>
      <c r="L131" s="255">
        <v>41300</v>
      </c>
      <c r="M131" s="255">
        <v>13765.289999999999</v>
      </c>
    </row>
    <row r="132" spans="1:13" ht="15.75">
      <c r="A132" s="83">
        <v>509882</v>
      </c>
      <c r="B132" s="83">
        <v>211534</v>
      </c>
      <c r="C132" s="83" t="str">
        <f>Table7[[#This Row],[Fund Number]]&amp;","&amp;Table7[[#This Row],[FC Number]]</f>
        <v>509882,211534</v>
      </c>
      <c r="D132" s="83"/>
      <c r="E132" s="83" t="s">
        <v>19</v>
      </c>
      <c r="F132" s="238" t="s">
        <v>19</v>
      </c>
      <c r="G132" s="83" t="s">
        <v>484</v>
      </c>
      <c r="H132" s="86" t="s">
        <v>485</v>
      </c>
      <c r="I132" s="86" t="s">
        <v>68</v>
      </c>
      <c r="J132" s="201">
        <v>44044</v>
      </c>
      <c r="K132" s="201">
        <v>44408</v>
      </c>
      <c r="L132" s="255">
        <v>39365</v>
      </c>
      <c r="M132" s="255">
        <v>13120.354499999999</v>
      </c>
    </row>
    <row r="133" spans="1:13" ht="15.75">
      <c r="A133" s="83">
        <v>511140</v>
      </c>
      <c r="B133" s="238">
        <v>212630</v>
      </c>
      <c r="C133" s="238" t="str">
        <f>Table7[[#This Row],[Fund Number]]&amp;","&amp;Table7[[#This Row],[FC Number]]</f>
        <v>511140,212630</v>
      </c>
      <c r="D133" s="238"/>
      <c r="E133" s="238" t="s">
        <v>19</v>
      </c>
      <c r="F133" s="238" t="s">
        <v>19</v>
      </c>
      <c r="G133" s="238" t="s">
        <v>486</v>
      </c>
      <c r="H133" s="91" t="s">
        <v>487</v>
      </c>
      <c r="I133" s="91" t="s">
        <v>46</v>
      </c>
      <c r="J133" s="272">
        <v>44044</v>
      </c>
      <c r="K133" s="272">
        <v>44408</v>
      </c>
      <c r="L133" s="257">
        <v>100000</v>
      </c>
      <c r="M133" s="257">
        <v>33330</v>
      </c>
    </row>
    <row r="134" spans="1:13" ht="15.75">
      <c r="A134" s="83">
        <v>511440</v>
      </c>
      <c r="B134" s="238">
        <v>208728</v>
      </c>
      <c r="C134" s="238" t="str">
        <f>Table7[[#This Row],[Fund Number]]&amp;","&amp;Table7[[#This Row],[FC Number]]</f>
        <v>511440,208728</v>
      </c>
      <c r="D134" s="238"/>
      <c r="E134" s="238" t="s">
        <v>521</v>
      </c>
      <c r="F134" s="238" t="s">
        <v>341</v>
      </c>
      <c r="G134" s="238" t="s">
        <v>342</v>
      </c>
      <c r="H134" s="91" t="s">
        <v>180</v>
      </c>
      <c r="I134" s="91" t="s">
        <v>53</v>
      </c>
      <c r="J134" s="272">
        <v>44075</v>
      </c>
      <c r="K134" s="272">
        <v>44439</v>
      </c>
      <c r="L134" s="257">
        <v>12500</v>
      </c>
      <c r="M134" s="257">
        <v>4166.25</v>
      </c>
    </row>
    <row r="135" spans="1:13" ht="15.75">
      <c r="A135" s="83">
        <v>511440</v>
      </c>
      <c r="B135" s="238">
        <v>209400</v>
      </c>
      <c r="C135" s="238" t="str">
        <f>Table7[[#This Row],[Fund Number]]&amp;","&amp;Table7[[#This Row],[FC Number]]</f>
        <v>511440,209400</v>
      </c>
      <c r="D135" s="238"/>
      <c r="E135" s="238" t="s">
        <v>521</v>
      </c>
      <c r="F135" s="238" t="s">
        <v>341</v>
      </c>
      <c r="G135" s="238" t="s">
        <v>343</v>
      </c>
      <c r="H135" s="91" t="s">
        <v>179</v>
      </c>
      <c r="I135" s="91" t="s">
        <v>46</v>
      </c>
      <c r="J135" s="272">
        <v>44075</v>
      </c>
      <c r="K135" s="272">
        <v>44439</v>
      </c>
      <c r="L135" s="257">
        <v>12500</v>
      </c>
      <c r="M135" s="257">
        <v>4166.25</v>
      </c>
    </row>
    <row r="136" spans="1:13" ht="15.75">
      <c r="A136" s="83">
        <v>511777</v>
      </c>
      <c r="B136" s="193">
        <v>213181</v>
      </c>
      <c r="C136" s="193" t="str">
        <f>Table7[[#This Row],[Fund Number]]&amp;","&amp;Table7[[#This Row],[FC Number]]</f>
        <v>511777,213181</v>
      </c>
      <c r="D136" s="193"/>
      <c r="E136" s="193" t="s">
        <v>518</v>
      </c>
      <c r="F136" s="90" t="s">
        <v>8</v>
      </c>
      <c r="G136" s="193" t="s">
        <v>452</v>
      </c>
      <c r="H136" s="91" t="s">
        <v>52</v>
      </c>
      <c r="I136" s="91" t="s">
        <v>53</v>
      </c>
      <c r="J136" s="272">
        <v>44197</v>
      </c>
      <c r="K136" s="272">
        <v>44805</v>
      </c>
      <c r="L136" s="257">
        <v>50000</v>
      </c>
      <c r="M136" s="257">
        <v>16665</v>
      </c>
    </row>
    <row r="137" spans="1:13" ht="15.75">
      <c r="A137" s="83">
        <v>511799</v>
      </c>
      <c r="B137" s="238">
        <v>211377</v>
      </c>
      <c r="C137" s="238" t="str">
        <f>Table7[[#This Row],[Fund Number]]&amp;","&amp;Table7[[#This Row],[FC Number]]</f>
        <v>511799,211377</v>
      </c>
      <c r="D137" s="238"/>
      <c r="E137" s="238" t="s">
        <v>10</v>
      </c>
      <c r="F137" s="238" t="s">
        <v>10</v>
      </c>
      <c r="G137" s="238" t="s">
        <v>413</v>
      </c>
      <c r="H137" s="91" t="s">
        <v>56</v>
      </c>
      <c r="I137" s="91" t="s">
        <v>53</v>
      </c>
      <c r="J137" s="272">
        <v>44013</v>
      </c>
      <c r="K137" s="272">
        <v>44377</v>
      </c>
      <c r="L137" s="257">
        <v>150000</v>
      </c>
      <c r="M137" s="257">
        <v>49995</v>
      </c>
    </row>
    <row r="138" spans="1:13" ht="15.75">
      <c r="A138" s="83">
        <v>511941</v>
      </c>
      <c r="B138" s="238">
        <v>213182</v>
      </c>
      <c r="C138" s="238" t="str">
        <f>Table7[[#This Row],[Fund Number]]&amp;","&amp;Table7[[#This Row],[FC Number]]</f>
        <v>511941,213182</v>
      </c>
      <c r="D138" s="238"/>
      <c r="E138" s="238" t="s">
        <v>518</v>
      </c>
      <c r="F138" s="90" t="s">
        <v>8</v>
      </c>
      <c r="G138" s="238" t="s">
        <v>453</v>
      </c>
      <c r="H138" s="91" t="s">
        <v>168</v>
      </c>
      <c r="I138" s="91" t="s">
        <v>53</v>
      </c>
      <c r="J138" s="272">
        <v>44197</v>
      </c>
      <c r="K138" s="272">
        <v>44805</v>
      </c>
      <c r="L138" s="257">
        <v>50000</v>
      </c>
      <c r="M138" s="257">
        <v>16665</v>
      </c>
    </row>
    <row r="139" spans="1:13" ht="15.75">
      <c r="A139" s="83">
        <v>512148</v>
      </c>
      <c r="B139" s="238">
        <v>213202</v>
      </c>
      <c r="C139" s="238" t="str">
        <f>Table7[[#This Row],[Fund Number]]&amp;","&amp;Table7[[#This Row],[FC Number]]</f>
        <v>512148,213202</v>
      </c>
      <c r="D139" s="238"/>
      <c r="E139" s="238" t="s">
        <v>518</v>
      </c>
      <c r="F139" s="90" t="s">
        <v>8</v>
      </c>
      <c r="G139" s="238" t="s">
        <v>454</v>
      </c>
      <c r="H139" s="91" t="s">
        <v>74</v>
      </c>
      <c r="I139" s="91" t="s">
        <v>75</v>
      </c>
      <c r="J139" s="272">
        <v>44287</v>
      </c>
      <c r="K139" s="239">
        <v>44805</v>
      </c>
      <c r="L139" s="257">
        <v>30636</v>
      </c>
      <c r="M139" s="257">
        <v>10210.978799999999</v>
      </c>
    </row>
    <row r="140" spans="1:13" ht="15.75">
      <c r="A140" s="83">
        <v>512403</v>
      </c>
      <c r="B140" s="238">
        <v>208807</v>
      </c>
      <c r="C140" s="238" t="str">
        <f>Table7[[#This Row],[Fund Number]]&amp;","&amp;Table7[[#This Row],[FC Number]]</f>
        <v>512403,208807</v>
      </c>
      <c r="D140" s="238"/>
      <c r="E140" s="238" t="s">
        <v>10</v>
      </c>
      <c r="F140" s="238" t="s">
        <v>10</v>
      </c>
      <c r="G140" s="238" t="s">
        <v>508</v>
      </c>
      <c r="H140" s="91" t="s">
        <v>509</v>
      </c>
      <c r="I140" s="91" t="s">
        <v>68</v>
      </c>
      <c r="J140" s="272">
        <v>44013</v>
      </c>
      <c r="K140" s="272">
        <v>44742</v>
      </c>
      <c r="L140" s="257">
        <v>150000</v>
      </c>
      <c r="M140" s="257">
        <v>49995</v>
      </c>
    </row>
  </sheetData>
  <conditionalFormatting sqref="C1:C1048576">
    <cfRule type="duplicateValues" dxfId="152" priority="1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15330-C505-47E5-9B77-82965DB588BF}">
  <sheetPr>
    <tabColor theme="8" tint="-0.499984740745262"/>
  </sheetPr>
  <dimension ref="A1:DY721"/>
  <sheetViews>
    <sheetView workbookViewId="0">
      <selection activeCell="E5" sqref="E5"/>
    </sheetView>
  </sheetViews>
  <sheetFormatPr defaultColWidth="8.7109375" defaultRowHeight="15"/>
  <cols>
    <col min="2" max="3" width="9.140625"/>
    <col min="4" max="4" width="10.42578125" customWidth="1"/>
    <col min="5" max="5" width="11.140625" customWidth="1"/>
    <col min="7" max="8" width="12.85546875" customWidth="1"/>
    <col min="9" max="9" width="12.42578125" customWidth="1"/>
    <col min="10" max="10" width="10.7109375" customWidth="1"/>
    <col min="11" max="11" width="9.42578125" customWidth="1"/>
    <col min="12" max="12" width="13.85546875" customWidth="1"/>
    <col min="13" max="13" width="15" customWidth="1"/>
    <col min="14" max="14" width="10.5703125" customWidth="1"/>
    <col min="15" max="15" width="18.42578125" customWidth="1"/>
    <col min="16" max="16" width="18.28515625" customWidth="1"/>
    <col min="17" max="17" width="17.140625" customWidth="1"/>
    <col min="18" max="18" width="16.5703125" customWidth="1"/>
    <col min="19" max="19" width="19.7109375" customWidth="1"/>
    <col min="20" max="20" width="8.85546875" customWidth="1"/>
    <col min="21" max="21" width="11.5703125" customWidth="1"/>
    <col min="22" max="22" width="14.140625" customWidth="1"/>
    <col min="23" max="23" width="23.5703125" customWidth="1"/>
    <col min="24" max="24" width="9.7109375" customWidth="1"/>
    <col min="25" max="25" width="11.85546875" customWidth="1"/>
    <col min="26" max="26" width="9.140625" customWidth="1"/>
    <col min="27" max="27" width="9.42578125" customWidth="1"/>
    <col min="28" max="28" width="9.7109375" customWidth="1"/>
    <col min="29" max="29" width="13.5703125" customWidth="1"/>
    <col min="30" max="30" width="10.140625" customWidth="1"/>
    <col min="31" max="31" width="12.85546875" customWidth="1"/>
    <col min="32" max="32" width="15.42578125" customWidth="1"/>
    <col min="33" max="33" width="24.85546875" customWidth="1"/>
    <col min="34" max="34" width="11" customWidth="1"/>
    <col min="35" max="35" width="13.140625" customWidth="1"/>
    <col min="36" max="36" width="10.42578125" customWidth="1"/>
    <col min="37" max="37" width="14.7109375" customWidth="1"/>
    <col min="38" max="38" width="11" customWidth="1"/>
    <col min="39" max="39" width="16.140625" customWidth="1"/>
    <col min="40" max="40" width="11.42578125" customWidth="1"/>
    <col min="41" max="41" width="14.140625" customWidth="1"/>
    <col min="42" max="42" width="16.5703125" customWidth="1"/>
    <col min="43" max="43" width="26.140625" customWidth="1"/>
    <col min="44" max="44" width="12.28515625" customWidth="1"/>
    <col min="45" max="45" width="14.42578125" customWidth="1"/>
    <col min="46" max="46" width="11.7109375" customWidth="1"/>
    <col min="47" max="47" width="15" customWidth="1"/>
    <col min="48" max="48" width="12.28515625" customWidth="1"/>
    <col min="49" max="49" width="16.140625" customWidth="1"/>
    <col min="50" max="50" width="11.42578125" customWidth="1"/>
    <col min="51" max="51" width="14.140625" customWidth="1"/>
    <col min="52" max="52" width="16.5703125" customWidth="1"/>
    <col min="53" max="53" width="26.140625" customWidth="1"/>
    <col min="54" max="54" width="14.42578125" customWidth="1"/>
    <col min="55" max="55" width="12.28515625" customWidth="1"/>
    <col min="56" max="56" width="14.42578125" customWidth="1"/>
    <col min="57" max="57" width="15" customWidth="1"/>
    <col min="58" max="58" width="11.42578125" customWidth="1"/>
    <col min="59" max="59" width="15" customWidth="1"/>
    <col min="60" max="60" width="15.7109375" customWidth="1"/>
    <col min="61" max="61" width="15" customWidth="1"/>
    <col min="62" max="62" width="29.42578125" customWidth="1"/>
    <col min="63" max="63" width="16.140625" customWidth="1"/>
    <col min="64" max="64" width="32.140625" customWidth="1"/>
    <col min="65" max="65" width="9.42578125" customWidth="1"/>
    <col min="66" max="66" width="15.85546875" customWidth="1"/>
  </cols>
  <sheetData>
    <row r="1" spans="1:64" ht="15.75">
      <c r="A1" s="313" t="s">
        <v>522</v>
      </c>
      <c r="B1" s="100" t="s">
        <v>523</v>
      </c>
      <c r="C1" s="101" t="s">
        <v>524</v>
      </c>
      <c r="D1" s="102" t="s">
        <v>525</v>
      </c>
      <c r="E1" s="99" t="s">
        <v>526</v>
      </c>
      <c r="F1" s="99" t="s">
        <v>527</v>
      </c>
      <c r="G1" s="103" t="s">
        <v>528</v>
      </c>
      <c r="H1" s="102" t="s">
        <v>529</v>
      </c>
      <c r="I1" s="102" t="s">
        <v>530</v>
      </c>
      <c r="J1" s="102" t="s">
        <v>531</v>
      </c>
      <c r="K1" s="105" t="s">
        <v>532</v>
      </c>
      <c r="L1" s="101" t="s">
        <v>533</v>
      </c>
      <c r="M1" s="102" t="s">
        <v>534</v>
      </c>
      <c r="N1" s="106" t="s">
        <v>535</v>
      </c>
      <c r="O1" s="106" t="s">
        <v>536</v>
      </c>
      <c r="P1" s="106" t="s">
        <v>537</v>
      </c>
      <c r="Q1" s="291" t="s">
        <v>538</v>
      </c>
      <c r="R1" s="310" t="s">
        <v>539</v>
      </c>
      <c r="S1" s="310" t="s">
        <v>540</v>
      </c>
      <c r="T1" s="310" t="s">
        <v>541</v>
      </c>
      <c r="U1" s="317" t="s">
        <v>542</v>
      </c>
      <c r="V1" s="317" t="s">
        <v>543</v>
      </c>
      <c r="W1" s="310" t="s">
        <v>544</v>
      </c>
      <c r="X1" s="310" t="s">
        <v>545</v>
      </c>
      <c r="Y1" s="312" t="s">
        <v>546</v>
      </c>
      <c r="Z1" s="318" t="s">
        <v>547</v>
      </c>
      <c r="AA1" s="318" t="s">
        <v>548</v>
      </c>
      <c r="AB1" s="310" t="s">
        <v>549</v>
      </c>
      <c r="AC1" s="310" t="s">
        <v>550</v>
      </c>
      <c r="AD1" s="310" t="s">
        <v>551</v>
      </c>
      <c r="AE1" s="317" t="s">
        <v>552</v>
      </c>
      <c r="AF1" s="317" t="s">
        <v>553</v>
      </c>
      <c r="AG1" s="310" t="s">
        <v>554</v>
      </c>
      <c r="AH1" s="310" t="s">
        <v>555</v>
      </c>
      <c r="AI1" s="312" t="s">
        <v>556</v>
      </c>
      <c r="AJ1" s="319" t="s">
        <v>557</v>
      </c>
      <c r="AK1" s="320" t="s">
        <v>558</v>
      </c>
      <c r="AL1" s="321" t="s">
        <v>559</v>
      </c>
      <c r="AM1" s="310" t="s">
        <v>560</v>
      </c>
      <c r="AN1" s="310" t="s">
        <v>561</v>
      </c>
      <c r="AO1" s="317" t="s">
        <v>562</v>
      </c>
      <c r="AP1" s="317" t="s">
        <v>563</v>
      </c>
      <c r="AQ1" s="310" t="s">
        <v>564</v>
      </c>
      <c r="AR1" s="310" t="s">
        <v>565</v>
      </c>
      <c r="AS1" s="293" t="s">
        <v>566</v>
      </c>
      <c r="AT1" s="318" t="s">
        <v>567</v>
      </c>
      <c r="AU1" s="319" t="s">
        <v>568</v>
      </c>
      <c r="AV1" s="312" t="s">
        <v>569</v>
      </c>
      <c r="AW1" s="311" t="s">
        <v>570</v>
      </c>
      <c r="AX1" s="311" t="s">
        <v>571</v>
      </c>
      <c r="AY1" s="322" t="s">
        <v>572</v>
      </c>
      <c r="AZ1" s="311" t="s">
        <v>573</v>
      </c>
      <c r="BA1" s="311" t="s">
        <v>574</v>
      </c>
      <c r="BB1" s="311" t="s">
        <v>575</v>
      </c>
      <c r="BC1" s="293" t="s">
        <v>576</v>
      </c>
      <c r="BD1" s="312" t="s">
        <v>577</v>
      </c>
      <c r="BE1" s="293" t="s">
        <v>578</v>
      </c>
      <c r="BF1" s="311" t="s">
        <v>579</v>
      </c>
      <c r="BG1" s="293" t="s">
        <v>580</v>
      </c>
      <c r="BH1" s="293" t="s">
        <v>581</v>
      </c>
      <c r="BI1" s="120" t="s">
        <v>582</v>
      </c>
      <c r="BJ1" s="121" t="s">
        <v>583</v>
      </c>
      <c r="BK1" s="292" t="s">
        <v>584</v>
      </c>
      <c r="BL1" s="91" t="s">
        <v>585</v>
      </c>
    </row>
    <row r="2" spans="1:64" ht="15.75">
      <c r="A2" s="314">
        <v>499942</v>
      </c>
      <c r="B2" s="124" t="s">
        <v>586</v>
      </c>
      <c r="C2" s="124" t="s">
        <v>586</v>
      </c>
      <c r="D2" s="126">
        <v>107525</v>
      </c>
      <c r="E2" s="148" t="s">
        <v>587</v>
      </c>
      <c r="F2" s="148" t="s">
        <v>588</v>
      </c>
      <c r="G2" s="127" t="s">
        <v>46</v>
      </c>
      <c r="H2" s="126" t="s">
        <v>589</v>
      </c>
      <c r="I2" s="126"/>
      <c r="J2" s="126" t="s">
        <v>590</v>
      </c>
      <c r="K2" s="128"/>
      <c r="L2" s="124" t="s">
        <v>513</v>
      </c>
      <c r="M2" s="126" t="s">
        <v>591</v>
      </c>
      <c r="N2" s="129">
        <v>42248</v>
      </c>
      <c r="O2" s="129">
        <v>45169</v>
      </c>
      <c r="P2" s="129">
        <v>45169</v>
      </c>
      <c r="Q2" s="330">
        <v>4552770</v>
      </c>
      <c r="R2" s="335">
        <v>75000</v>
      </c>
      <c r="S2" s="387">
        <v>0</v>
      </c>
      <c r="T2" s="324">
        <v>0</v>
      </c>
      <c r="U2" s="324">
        <v>0</v>
      </c>
      <c r="V2" s="324"/>
      <c r="W2" s="324">
        <v>0</v>
      </c>
      <c r="X2" s="324">
        <v>0</v>
      </c>
      <c r="Y2" s="348">
        <v>75000</v>
      </c>
      <c r="Z2" s="325">
        <v>75000</v>
      </c>
      <c r="AA2" s="325">
        <v>0</v>
      </c>
      <c r="AB2" s="350">
        <v>826967</v>
      </c>
      <c r="AC2" s="283">
        <v>0</v>
      </c>
      <c r="AD2" s="324">
        <v>0</v>
      </c>
      <c r="AE2" s="324">
        <v>0</v>
      </c>
      <c r="AF2" s="324">
        <v>0</v>
      </c>
      <c r="AG2" s="324">
        <v>0</v>
      </c>
      <c r="AH2" s="324"/>
      <c r="AI2" s="312">
        <v>826967</v>
      </c>
      <c r="AJ2" s="327">
        <v>826967</v>
      </c>
      <c r="AK2" s="327">
        <v>0</v>
      </c>
      <c r="AL2" s="327">
        <v>830914</v>
      </c>
      <c r="AM2" s="279">
        <v>0</v>
      </c>
      <c r="AN2" s="279">
        <v>0</v>
      </c>
      <c r="AO2" s="279">
        <v>0</v>
      </c>
      <c r="AP2" s="279"/>
      <c r="AQ2" s="279">
        <v>0</v>
      </c>
      <c r="AR2" s="279">
        <v>0</v>
      </c>
      <c r="AS2" s="336">
        <v>830914</v>
      </c>
      <c r="AT2" s="327">
        <v>830914</v>
      </c>
      <c r="AU2" s="327">
        <v>0</v>
      </c>
      <c r="AV2" s="327">
        <v>809889</v>
      </c>
      <c r="AW2" s="279"/>
      <c r="AX2" s="279"/>
      <c r="AY2" s="279"/>
      <c r="AZ2" s="279"/>
      <c r="BA2" s="279"/>
      <c r="BB2" s="279"/>
      <c r="BC2" s="293">
        <v>809889</v>
      </c>
      <c r="BD2" s="319">
        <v>900000</v>
      </c>
      <c r="BE2" s="293">
        <v>900000</v>
      </c>
      <c r="BF2" s="319">
        <v>500000</v>
      </c>
      <c r="BG2" s="293">
        <v>500000</v>
      </c>
      <c r="BH2" s="293">
        <v>1183391</v>
      </c>
      <c r="BI2" s="337">
        <v>5126161</v>
      </c>
      <c r="BJ2" s="338">
        <v>573391</v>
      </c>
      <c r="BK2" s="280"/>
      <c r="BL2" s="329"/>
    </row>
    <row r="3" spans="1:64" ht="15.75">
      <c r="A3" s="314">
        <v>500737</v>
      </c>
      <c r="B3" s="124" t="s">
        <v>592</v>
      </c>
      <c r="C3" s="124" t="s">
        <v>592</v>
      </c>
      <c r="D3" s="126">
        <v>107525</v>
      </c>
      <c r="E3" s="148" t="s">
        <v>587</v>
      </c>
      <c r="F3" s="148" t="s">
        <v>588</v>
      </c>
      <c r="G3" s="127" t="s">
        <v>46</v>
      </c>
      <c r="H3" s="126" t="s">
        <v>593</v>
      </c>
      <c r="I3" s="126"/>
      <c r="J3" s="126" t="s">
        <v>590</v>
      </c>
      <c r="K3" s="128"/>
      <c r="L3" s="124" t="s">
        <v>514</v>
      </c>
      <c r="M3" s="126" t="s">
        <v>591</v>
      </c>
      <c r="N3" s="129">
        <v>42248</v>
      </c>
      <c r="O3" s="129">
        <v>45169</v>
      </c>
      <c r="P3" s="129">
        <v>45169</v>
      </c>
      <c r="Q3" s="330">
        <v>2819950</v>
      </c>
      <c r="R3" s="324">
        <v>255000</v>
      </c>
      <c r="S3" s="334">
        <v>0</v>
      </c>
      <c r="T3" s="324">
        <v>0</v>
      </c>
      <c r="U3" s="324">
        <v>0</v>
      </c>
      <c r="V3" s="324"/>
      <c r="W3" s="324">
        <v>0</v>
      </c>
      <c r="X3" s="324">
        <v>0</v>
      </c>
      <c r="Y3" s="348">
        <v>255000</v>
      </c>
      <c r="Z3" s="325">
        <v>255000</v>
      </c>
      <c r="AA3" s="325">
        <v>0</v>
      </c>
      <c r="AB3" s="324">
        <v>605000</v>
      </c>
      <c r="AC3" s="283">
        <v>0</v>
      </c>
      <c r="AD3" s="324">
        <v>0</v>
      </c>
      <c r="AE3" s="324">
        <v>0</v>
      </c>
      <c r="AF3" s="324">
        <v>0</v>
      </c>
      <c r="AG3" s="324">
        <v>0</v>
      </c>
      <c r="AH3" s="324"/>
      <c r="AI3" s="312">
        <v>605000</v>
      </c>
      <c r="AJ3" s="327">
        <v>605000</v>
      </c>
      <c r="AK3" s="327">
        <v>0</v>
      </c>
      <c r="AL3" s="279">
        <v>432475</v>
      </c>
      <c r="AM3" s="324">
        <v>0</v>
      </c>
      <c r="AN3" s="279">
        <v>0</v>
      </c>
      <c r="AO3" s="279">
        <v>0</v>
      </c>
      <c r="AP3" s="279"/>
      <c r="AQ3" s="279">
        <v>0</v>
      </c>
      <c r="AR3" s="279">
        <v>0</v>
      </c>
      <c r="AS3" s="293">
        <v>432475</v>
      </c>
      <c r="AT3" s="327">
        <v>432475</v>
      </c>
      <c r="AU3" s="327">
        <v>0</v>
      </c>
      <c r="AV3" s="328">
        <v>522475</v>
      </c>
      <c r="AW3" s="279"/>
      <c r="AX3" s="279"/>
      <c r="AY3" s="279"/>
      <c r="AZ3" s="279"/>
      <c r="BA3" s="279"/>
      <c r="BB3" s="279"/>
      <c r="BC3" s="293">
        <v>522475</v>
      </c>
      <c r="BD3" s="319">
        <v>510000</v>
      </c>
      <c r="BE3" s="293">
        <v>510000</v>
      </c>
      <c r="BF3" s="319">
        <v>0</v>
      </c>
      <c r="BG3" s="293">
        <v>0</v>
      </c>
      <c r="BH3" s="293">
        <v>731264</v>
      </c>
      <c r="BI3" s="337">
        <v>3056214</v>
      </c>
      <c r="BJ3" s="338">
        <v>236264</v>
      </c>
      <c r="BK3" s="280"/>
      <c r="BL3" s="329"/>
    </row>
    <row r="4" spans="1:64" ht="15.75">
      <c r="A4" s="314">
        <v>504879</v>
      </c>
      <c r="B4" s="125" t="s">
        <v>594</v>
      </c>
      <c r="C4" s="124" t="s">
        <v>216</v>
      </c>
      <c r="D4" s="126">
        <v>108196</v>
      </c>
      <c r="E4" s="148" t="s">
        <v>595</v>
      </c>
      <c r="F4" s="148" t="s">
        <v>596</v>
      </c>
      <c r="G4" s="127" t="s">
        <v>46</v>
      </c>
      <c r="H4" s="149" t="s">
        <v>597</v>
      </c>
      <c r="I4" s="126" t="s">
        <v>598</v>
      </c>
      <c r="J4" s="126" t="s">
        <v>599</v>
      </c>
      <c r="K4" s="128" t="s">
        <v>600</v>
      </c>
      <c r="L4" s="121" t="s">
        <v>518</v>
      </c>
      <c r="M4" s="123" t="s">
        <v>601</v>
      </c>
      <c r="N4" s="129">
        <v>43191</v>
      </c>
      <c r="O4" s="129">
        <v>43373</v>
      </c>
      <c r="P4" s="129">
        <v>43373</v>
      </c>
      <c r="Q4" s="330">
        <v>67500</v>
      </c>
      <c r="R4" s="331"/>
      <c r="S4" s="324">
        <v>67500</v>
      </c>
      <c r="T4" s="324">
        <v>0</v>
      </c>
      <c r="U4" s="324">
        <v>0</v>
      </c>
      <c r="V4" s="324">
        <v>0</v>
      </c>
      <c r="W4" s="324">
        <v>0</v>
      </c>
      <c r="X4" s="324">
        <v>0</v>
      </c>
      <c r="Y4" s="312">
        <v>67500</v>
      </c>
      <c r="Z4" s="325">
        <v>67500</v>
      </c>
      <c r="AA4" s="325">
        <v>0</v>
      </c>
      <c r="AB4" s="326"/>
      <c r="AC4" s="324" t="s">
        <v>602</v>
      </c>
      <c r="AD4" s="324" t="s">
        <v>602</v>
      </c>
      <c r="AE4" s="324" t="s">
        <v>602</v>
      </c>
      <c r="AF4" s="324" t="s">
        <v>602</v>
      </c>
      <c r="AG4" s="324" t="s">
        <v>602</v>
      </c>
      <c r="AH4" s="324"/>
      <c r="AI4" s="312">
        <v>0</v>
      </c>
      <c r="AJ4" s="327">
        <v>0</v>
      </c>
      <c r="AK4" s="327">
        <v>0</v>
      </c>
      <c r="AL4" s="328"/>
      <c r="AM4" s="324">
        <v>0</v>
      </c>
      <c r="AN4" s="324">
        <v>0</v>
      </c>
      <c r="AO4" s="324">
        <v>0</v>
      </c>
      <c r="AP4" s="324">
        <v>0</v>
      </c>
      <c r="AQ4" s="324">
        <v>0</v>
      </c>
      <c r="AR4" s="324">
        <v>0</v>
      </c>
      <c r="AS4" s="293">
        <v>0</v>
      </c>
      <c r="AT4" s="327">
        <v>0</v>
      </c>
      <c r="AU4" s="327">
        <v>0</v>
      </c>
      <c r="AV4" s="328"/>
      <c r="AW4" s="279"/>
      <c r="AX4" s="279"/>
      <c r="AY4" s="279"/>
      <c r="AZ4" s="279"/>
      <c r="BA4" s="279"/>
      <c r="BB4" s="279"/>
      <c r="BC4" s="293"/>
      <c r="BD4" s="319"/>
      <c r="BE4" s="293"/>
      <c r="BF4" s="319"/>
      <c r="BG4" s="293"/>
      <c r="BH4" s="293"/>
      <c r="BI4" s="337">
        <v>67500</v>
      </c>
      <c r="BJ4" s="338">
        <v>0</v>
      </c>
      <c r="BK4" s="280" t="s">
        <v>603</v>
      </c>
      <c r="BL4" s="91" t="s">
        <v>604</v>
      </c>
    </row>
    <row r="5" spans="1:64" ht="15.75">
      <c r="A5" s="314">
        <v>505794</v>
      </c>
      <c r="B5" s="149" t="s">
        <v>605</v>
      </c>
      <c r="C5" s="149" t="s">
        <v>606</v>
      </c>
      <c r="D5" s="126">
        <v>108288</v>
      </c>
      <c r="E5" s="148" t="s">
        <v>607</v>
      </c>
      <c r="F5" s="149" t="s">
        <v>608</v>
      </c>
      <c r="G5" s="127" t="s">
        <v>46</v>
      </c>
      <c r="H5" s="149" t="s">
        <v>597</v>
      </c>
      <c r="I5" s="126" t="s">
        <v>609</v>
      </c>
      <c r="J5" s="149" t="s">
        <v>610</v>
      </c>
      <c r="K5" s="149" t="s">
        <v>611</v>
      </c>
      <c r="L5" s="149" t="s">
        <v>518</v>
      </c>
      <c r="M5" s="123" t="s">
        <v>601</v>
      </c>
      <c r="N5" s="129">
        <v>43374</v>
      </c>
      <c r="O5" s="129">
        <v>43555</v>
      </c>
      <c r="P5" s="129">
        <v>43555</v>
      </c>
      <c r="Q5" s="330">
        <v>74400</v>
      </c>
      <c r="R5" s="331"/>
      <c r="S5" s="324">
        <v>74400</v>
      </c>
      <c r="T5" s="324"/>
      <c r="U5" s="324"/>
      <c r="V5" s="324">
        <v>0</v>
      </c>
      <c r="W5" s="324"/>
      <c r="X5" s="324">
        <v>0</v>
      </c>
      <c r="Y5" s="312">
        <v>74400</v>
      </c>
      <c r="Z5" s="325">
        <v>74400</v>
      </c>
      <c r="AA5" s="325">
        <v>0</v>
      </c>
      <c r="AB5" s="326"/>
      <c r="AC5" s="324" t="s">
        <v>602</v>
      </c>
      <c r="AD5" s="324" t="s">
        <v>602</v>
      </c>
      <c r="AE5" s="324" t="s">
        <v>602</v>
      </c>
      <c r="AF5" s="324" t="s">
        <v>602</v>
      </c>
      <c r="AG5" s="324" t="s">
        <v>602</v>
      </c>
      <c r="AH5" s="324"/>
      <c r="AI5" s="312">
        <v>0</v>
      </c>
      <c r="AJ5" s="327">
        <v>0</v>
      </c>
      <c r="AK5" s="327">
        <v>0</v>
      </c>
      <c r="AL5" s="328"/>
      <c r="AM5" s="324">
        <v>0</v>
      </c>
      <c r="AN5" s="324">
        <v>0</v>
      </c>
      <c r="AO5" s="324">
        <v>0</v>
      </c>
      <c r="AP5" s="324">
        <v>0</v>
      </c>
      <c r="AQ5" s="324">
        <v>0</v>
      </c>
      <c r="AR5" s="324">
        <v>0</v>
      </c>
      <c r="AS5" s="293">
        <v>0</v>
      </c>
      <c r="AT5" s="327">
        <v>0</v>
      </c>
      <c r="AU5" s="327">
        <v>0</v>
      </c>
      <c r="AV5" s="328"/>
      <c r="AW5" s="279"/>
      <c r="AX5" s="279"/>
      <c r="AY5" s="279"/>
      <c r="AZ5" s="279"/>
      <c r="BA5" s="279"/>
      <c r="BB5" s="279"/>
      <c r="BC5" s="293"/>
      <c r="BD5" s="319"/>
      <c r="BE5" s="293"/>
      <c r="BF5" s="319"/>
      <c r="BG5" s="293"/>
      <c r="BH5" s="293"/>
      <c r="BI5" s="337">
        <v>74400</v>
      </c>
      <c r="BJ5" s="338">
        <v>0</v>
      </c>
      <c r="BK5" s="280" t="s">
        <v>612</v>
      </c>
    </row>
    <row r="6" spans="1:64" ht="15.75">
      <c r="A6" s="314">
        <v>506210</v>
      </c>
      <c r="B6" s="149" t="s">
        <v>613</v>
      </c>
      <c r="C6" s="149" t="s">
        <v>86</v>
      </c>
      <c r="D6" s="126">
        <v>108346</v>
      </c>
      <c r="E6" s="148" t="s">
        <v>614</v>
      </c>
      <c r="F6" s="149" t="s">
        <v>615</v>
      </c>
      <c r="G6" s="127" t="s">
        <v>46</v>
      </c>
      <c r="H6" s="149" t="s">
        <v>597</v>
      </c>
      <c r="I6" s="126" t="s">
        <v>609</v>
      </c>
      <c r="J6" s="149" t="s">
        <v>610</v>
      </c>
      <c r="K6" s="149" t="s">
        <v>611</v>
      </c>
      <c r="L6" s="149" t="s">
        <v>518</v>
      </c>
      <c r="M6" s="123" t="s">
        <v>616</v>
      </c>
      <c r="N6" s="129">
        <v>43466</v>
      </c>
      <c r="O6" s="129">
        <v>43524</v>
      </c>
      <c r="P6" s="129">
        <v>43524</v>
      </c>
      <c r="Q6" s="330">
        <v>24800</v>
      </c>
      <c r="R6" s="331"/>
      <c r="S6" s="324">
        <v>24800</v>
      </c>
      <c r="T6" s="324"/>
      <c r="U6" s="324"/>
      <c r="V6" s="324">
        <v>0</v>
      </c>
      <c r="W6" s="324"/>
      <c r="X6" s="324"/>
      <c r="Y6" s="312">
        <v>24800</v>
      </c>
      <c r="Z6" s="325">
        <v>24800</v>
      </c>
      <c r="AA6" s="325">
        <v>0</v>
      </c>
      <c r="AB6" s="326"/>
      <c r="AC6" s="324" t="s">
        <v>602</v>
      </c>
      <c r="AD6" s="324" t="s">
        <v>602</v>
      </c>
      <c r="AE6" s="324" t="s">
        <v>602</v>
      </c>
      <c r="AF6" s="324" t="s">
        <v>602</v>
      </c>
      <c r="AG6" s="324" t="s">
        <v>602</v>
      </c>
      <c r="AH6" s="324"/>
      <c r="AI6" s="312"/>
      <c r="AJ6" s="327">
        <v>0</v>
      </c>
      <c r="AK6" s="327">
        <v>0</v>
      </c>
      <c r="AL6" s="328"/>
      <c r="AM6" s="324">
        <v>0</v>
      </c>
      <c r="AN6" s="324">
        <v>0</v>
      </c>
      <c r="AO6" s="324">
        <v>0</v>
      </c>
      <c r="AP6" s="324">
        <v>0</v>
      </c>
      <c r="AQ6" s="324">
        <v>0</v>
      </c>
      <c r="AR6" s="324">
        <v>0</v>
      </c>
      <c r="AS6" s="293">
        <v>0</v>
      </c>
      <c r="AT6" s="327">
        <v>0</v>
      </c>
      <c r="AU6" s="327">
        <v>0</v>
      </c>
      <c r="AV6" s="328"/>
      <c r="AW6" s="279"/>
      <c r="AX6" s="279"/>
      <c r="AY6" s="279"/>
      <c r="AZ6" s="279"/>
      <c r="BA6" s="279"/>
      <c r="BB6" s="279"/>
      <c r="BC6" s="293"/>
      <c r="BD6" s="319"/>
      <c r="BE6" s="293"/>
      <c r="BF6" s="319"/>
      <c r="BG6" s="293"/>
      <c r="BH6" s="293"/>
      <c r="BI6" s="337">
        <v>24800</v>
      </c>
      <c r="BJ6" s="338">
        <v>0</v>
      </c>
      <c r="BK6" s="280" t="s">
        <v>617</v>
      </c>
    </row>
    <row r="7" spans="1:64" ht="15.75">
      <c r="A7" s="314">
        <v>509180</v>
      </c>
      <c r="B7" s="332" t="s">
        <v>618</v>
      </c>
      <c r="C7" s="124" t="s">
        <v>122</v>
      </c>
      <c r="D7" s="126">
        <v>108894</v>
      </c>
      <c r="E7" s="124" t="s">
        <v>619</v>
      </c>
      <c r="F7" s="124" t="s">
        <v>620</v>
      </c>
      <c r="G7" s="127" t="s">
        <v>46</v>
      </c>
      <c r="H7" s="126" t="s">
        <v>597</v>
      </c>
      <c r="I7" s="126" t="s">
        <v>609</v>
      </c>
      <c r="J7" s="126" t="s">
        <v>610</v>
      </c>
      <c r="K7" s="169" t="s">
        <v>621</v>
      </c>
      <c r="L7" s="121" t="s">
        <v>518</v>
      </c>
      <c r="M7" s="123" t="s">
        <v>622</v>
      </c>
      <c r="N7" s="129">
        <v>43952</v>
      </c>
      <c r="O7" s="129">
        <v>44805</v>
      </c>
      <c r="P7" s="129">
        <v>44805</v>
      </c>
      <c r="Q7" s="323">
        <v>165101</v>
      </c>
      <c r="R7" s="319"/>
      <c r="S7" s="319">
        <v>165101</v>
      </c>
      <c r="T7" s="324"/>
      <c r="U7" s="324"/>
      <c r="V7" s="324"/>
      <c r="W7" s="324"/>
      <c r="X7" s="324"/>
      <c r="Y7" s="312">
        <v>165101</v>
      </c>
      <c r="Z7" s="325">
        <v>165101</v>
      </c>
      <c r="AA7" s="325">
        <v>0</v>
      </c>
      <c r="AB7" s="326"/>
      <c r="AC7" s="324" t="s">
        <v>602</v>
      </c>
      <c r="AD7" s="324" t="s">
        <v>602</v>
      </c>
      <c r="AE7" s="324" t="s">
        <v>602</v>
      </c>
      <c r="AF7" s="324" t="s">
        <v>602</v>
      </c>
      <c r="AG7" s="324" t="s">
        <v>602</v>
      </c>
      <c r="AH7" s="324"/>
      <c r="AI7" s="312">
        <v>0</v>
      </c>
      <c r="AJ7" s="327">
        <v>0</v>
      </c>
      <c r="AK7" s="327">
        <v>0</v>
      </c>
      <c r="AL7" s="328"/>
      <c r="AM7" s="324">
        <v>0</v>
      </c>
      <c r="AN7" s="324">
        <v>0</v>
      </c>
      <c r="AO7" s="324">
        <v>0</v>
      </c>
      <c r="AP7" s="324">
        <v>0</v>
      </c>
      <c r="AQ7" s="324">
        <v>0</v>
      </c>
      <c r="AR7" s="324">
        <v>0</v>
      </c>
      <c r="AS7" s="293"/>
      <c r="AT7" s="327">
        <v>0</v>
      </c>
      <c r="AU7" s="327">
        <v>0</v>
      </c>
      <c r="AV7" s="328"/>
      <c r="AW7" s="279"/>
      <c r="AX7" s="279"/>
      <c r="AY7" s="279"/>
      <c r="AZ7" s="279"/>
      <c r="BA7" s="279"/>
      <c r="BB7" s="279"/>
      <c r="BC7" s="293"/>
      <c r="BD7" s="319"/>
      <c r="BE7" s="293"/>
      <c r="BF7" s="319"/>
      <c r="BG7" s="293"/>
      <c r="BH7" s="293"/>
      <c r="BI7" s="337">
        <v>165101</v>
      </c>
      <c r="BJ7" s="338">
        <v>0</v>
      </c>
      <c r="BK7" s="126" t="s">
        <v>623</v>
      </c>
    </row>
    <row r="8" spans="1:64" ht="15.75">
      <c r="A8" s="314">
        <v>506472</v>
      </c>
      <c r="B8" s="125" t="s">
        <v>624</v>
      </c>
      <c r="C8" s="124" t="s">
        <v>625</v>
      </c>
      <c r="D8" s="126">
        <v>200011</v>
      </c>
      <c r="E8" s="124" t="s">
        <v>626</v>
      </c>
      <c r="F8" s="124" t="s">
        <v>627</v>
      </c>
      <c r="G8" s="127" t="s">
        <v>53</v>
      </c>
      <c r="H8" s="126" t="s">
        <v>628</v>
      </c>
      <c r="I8" s="126" t="s">
        <v>598</v>
      </c>
      <c r="J8" s="126" t="s">
        <v>629</v>
      </c>
      <c r="K8" s="128" t="s">
        <v>630</v>
      </c>
      <c r="L8" s="121" t="s">
        <v>19</v>
      </c>
      <c r="M8" s="123" t="s">
        <v>631</v>
      </c>
      <c r="N8" s="129">
        <v>43556</v>
      </c>
      <c r="O8" s="129">
        <v>44459</v>
      </c>
      <c r="P8" s="129">
        <v>44459</v>
      </c>
      <c r="Q8" s="323">
        <v>41091</v>
      </c>
      <c r="R8" s="342"/>
      <c r="S8" s="324">
        <v>20000</v>
      </c>
      <c r="T8" s="324">
        <v>0</v>
      </c>
      <c r="U8" s="324">
        <v>21091</v>
      </c>
      <c r="V8" s="324">
        <v>0</v>
      </c>
      <c r="W8" s="324">
        <v>0</v>
      </c>
      <c r="X8" s="324">
        <v>0</v>
      </c>
      <c r="Y8" s="312">
        <v>41091</v>
      </c>
      <c r="Z8" s="325">
        <v>41091</v>
      </c>
      <c r="AA8" s="325">
        <v>0</v>
      </c>
      <c r="AB8" s="326"/>
      <c r="AC8" s="324" t="s">
        <v>602</v>
      </c>
      <c r="AD8" s="324" t="s">
        <v>602</v>
      </c>
      <c r="AE8" s="324" t="s">
        <v>602</v>
      </c>
      <c r="AF8" s="324" t="s">
        <v>602</v>
      </c>
      <c r="AG8" s="324" t="s">
        <v>602</v>
      </c>
      <c r="AH8" s="324"/>
      <c r="AI8" s="312">
        <v>0</v>
      </c>
      <c r="AJ8" s="327">
        <v>0</v>
      </c>
      <c r="AK8" s="327">
        <v>0</v>
      </c>
      <c r="AL8" s="339"/>
      <c r="AM8" s="324">
        <v>0</v>
      </c>
      <c r="AN8" s="324">
        <v>0</v>
      </c>
      <c r="AO8" s="324">
        <v>0</v>
      </c>
      <c r="AP8" s="324">
        <v>0</v>
      </c>
      <c r="AQ8" s="324">
        <v>0</v>
      </c>
      <c r="AR8" s="324">
        <v>0</v>
      </c>
      <c r="AS8" s="293">
        <v>0</v>
      </c>
      <c r="AT8" s="327">
        <v>0</v>
      </c>
      <c r="AU8" s="327">
        <v>0</v>
      </c>
      <c r="AV8" s="328"/>
      <c r="AW8" s="279"/>
      <c r="AX8" s="279"/>
      <c r="AY8" s="279"/>
      <c r="AZ8" s="279"/>
      <c r="BA8" s="279"/>
      <c r="BB8" s="279"/>
      <c r="BC8" s="293"/>
      <c r="BD8" s="319"/>
      <c r="BE8" s="293"/>
      <c r="BF8" s="319"/>
      <c r="BG8" s="293"/>
      <c r="BH8" s="293"/>
      <c r="BI8" s="337">
        <v>41091</v>
      </c>
      <c r="BJ8" s="338">
        <v>0</v>
      </c>
      <c r="BK8" s="126"/>
    </row>
    <row r="9" spans="1:64" ht="15.75">
      <c r="A9" s="314">
        <v>500311</v>
      </c>
      <c r="B9" s="125" t="s">
        <v>632</v>
      </c>
      <c r="C9" s="124" t="s">
        <v>133</v>
      </c>
      <c r="D9" s="126">
        <v>200037</v>
      </c>
      <c r="E9" s="148" t="s">
        <v>633</v>
      </c>
      <c r="F9" s="148" t="s">
        <v>634</v>
      </c>
      <c r="G9" s="127" t="s">
        <v>75</v>
      </c>
      <c r="H9" s="149" t="s">
        <v>597</v>
      </c>
      <c r="I9" s="126" t="s">
        <v>598</v>
      </c>
      <c r="J9" s="126" t="s">
        <v>635</v>
      </c>
      <c r="K9" s="128" t="s">
        <v>636</v>
      </c>
      <c r="L9" s="121" t="s">
        <v>637</v>
      </c>
      <c r="M9" s="123" t="s">
        <v>638</v>
      </c>
      <c r="N9" s="129">
        <v>42248</v>
      </c>
      <c r="O9" s="129">
        <v>42643</v>
      </c>
      <c r="P9" s="129">
        <v>42643</v>
      </c>
      <c r="Q9" s="330">
        <v>176667</v>
      </c>
      <c r="R9" s="324">
        <v>176667</v>
      </c>
      <c r="S9" s="324"/>
      <c r="T9" s="324">
        <v>0</v>
      </c>
      <c r="U9" s="324">
        <v>0</v>
      </c>
      <c r="V9" s="324"/>
      <c r="W9" s="324">
        <v>0</v>
      </c>
      <c r="X9" s="324"/>
      <c r="Y9" s="312">
        <v>176667</v>
      </c>
      <c r="Z9" s="325">
        <v>176667</v>
      </c>
      <c r="AA9" s="325">
        <v>0</v>
      </c>
      <c r="AB9" s="326"/>
      <c r="AC9" s="324" t="s">
        <v>602</v>
      </c>
      <c r="AD9" s="324" t="s">
        <v>602</v>
      </c>
      <c r="AE9" s="324" t="s">
        <v>602</v>
      </c>
      <c r="AF9" s="324" t="s">
        <v>602</v>
      </c>
      <c r="AG9" s="324" t="s">
        <v>602</v>
      </c>
      <c r="AH9" s="324"/>
      <c r="AI9" s="312">
        <v>0</v>
      </c>
      <c r="AJ9" s="327">
        <v>0</v>
      </c>
      <c r="AK9" s="327">
        <v>0</v>
      </c>
      <c r="AL9" s="328"/>
      <c r="AM9" s="324" t="s">
        <v>602</v>
      </c>
      <c r="AN9" s="324" t="s">
        <v>602</v>
      </c>
      <c r="AO9" s="324" t="s">
        <v>602</v>
      </c>
      <c r="AP9" s="324" t="s">
        <v>602</v>
      </c>
      <c r="AQ9" s="324" t="s">
        <v>602</v>
      </c>
      <c r="AR9" s="279" t="s">
        <v>602</v>
      </c>
      <c r="AS9" s="293">
        <v>0</v>
      </c>
      <c r="AT9" s="327">
        <v>0</v>
      </c>
      <c r="AU9" s="327">
        <v>0</v>
      </c>
      <c r="AV9" s="328"/>
      <c r="AW9" s="324" t="s">
        <v>602</v>
      </c>
      <c r="AX9" s="324" t="s">
        <v>602</v>
      </c>
      <c r="AY9" s="324" t="s">
        <v>602</v>
      </c>
      <c r="AZ9" s="324" t="s">
        <v>602</v>
      </c>
      <c r="BA9" s="324"/>
      <c r="BB9" s="324" t="s">
        <v>602</v>
      </c>
      <c r="BC9" s="293"/>
      <c r="BD9" s="319"/>
      <c r="BE9" s="293"/>
      <c r="BF9" s="319"/>
      <c r="BG9" s="293"/>
      <c r="BH9" s="293"/>
      <c r="BI9" s="337">
        <v>176667</v>
      </c>
      <c r="BJ9" s="338">
        <v>0</v>
      </c>
      <c r="BK9" s="165" t="s">
        <v>639</v>
      </c>
    </row>
    <row r="10" spans="1:64" ht="15.75">
      <c r="A10" s="314">
        <v>501349</v>
      </c>
      <c r="B10" s="125" t="s">
        <v>632</v>
      </c>
      <c r="C10" s="124" t="s">
        <v>133</v>
      </c>
      <c r="D10" s="126">
        <v>200037</v>
      </c>
      <c r="E10" s="124" t="s">
        <v>633</v>
      </c>
      <c r="F10" s="124" t="s">
        <v>634</v>
      </c>
      <c r="G10" s="127" t="s">
        <v>75</v>
      </c>
      <c r="H10" s="126" t="s">
        <v>597</v>
      </c>
      <c r="I10" s="126" t="s">
        <v>598</v>
      </c>
      <c r="J10" s="126" t="s">
        <v>635</v>
      </c>
      <c r="K10" s="128" t="s">
        <v>636</v>
      </c>
      <c r="L10" s="121" t="s">
        <v>515</v>
      </c>
      <c r="M10" s="123" t="s">
        <v>640</v>
      </c>
      <c r="N10" s="129">
        <v>42614</v>
      </c>
      <c r="O10" s="129">
        <v>43708</v>
      </c>
      <c r="P10" s="129">
        <v>43708</v>
      </c>
      <c r="Q10" s="323">
        <v>300000</v>
      </c>
      <c r="R10" s="319"/>
      <c r="S10" s="324">
        <v>58000</v>
      </c>
      <c r="T10" s="324">
        <v>0</v>
      </c>
      <c r="U10" s="324">
        <v>32000</v>
      </c>
      <c r="V10" s="324"/>
      <c r="W10" s="324">
        <v>10000</v>
      </c>
      <c r="X10" s="324">
        <v>0</v>
      </c>
      <c r="Y10" s="312">
        <v>100000</v>
      </c>
      <c r="Z10" s="325">
        <v>100000</v>
      </c>
      <c r="AA10" s="325">
        <v>0</v>
      </c>
      <c r="AB10" s="326"/>
      <c r="AC10" s="324">
        <v>58000</v>
      </c>
      <c r="AD10" s="324">
        <v>0</v>
      </c>
      <c r="AE10" s="324">
        <v>32000</v>
      </c>
      <c r="AF10" s="324">
        <v>10000</v>
      </c>
      <c r="AG10" s="324">
        <v>0</v>
      </c>
      <c r="AH10" s="324"/>
      <c r="AI10" s="312">
        <v>100000</v>
      </c>
      <c r="AJ10" s="327">
        <v>100000</v>
      </c>
      <c r="AK10" s="327">
        <v>0</v>
      </c>
      <c r="AL10" s="328"/>
      <c r="AM10" s="279">
        <v>58000</v>
      </c>
      <c r="AN10" s="279">
        <v>0</v>
      </c>
      <c r="AO10" s="279">
        <v>32000</v>
      </c>
      <c r="AP10" s="279"/>
      <c r="AQ10" s="279">
        <v>10000</v>
      </c>
      <c r="AR10" s="279">
        <v>0</v>
      </c>
      <c r="AS10" s="293">
        <v>100000</v>
      </c>
      <c r="AT10" s="327">
        <v>100000</v>
      </c>
      <c r="AU10" s="327">
        <v>0</v>
      </c>
      <c r="AV10" s="328"/>
      <c r="AW10" s="279"/>
      <c r="AX10" s="279"/>
      <c r="AY10" s="279"/>
      <c r="AZ10" s="279"/>
      <c r="BA10" s="279"/>
      <c r="BB10" s="279"/>
      <c r="BC10" s="293"/>
      <c r="BD10" s="319"/>
      <c r="BE10" s="293"/>
      <c r="BF10" s="319"/>
      <c r="BG10" s="293"/>
      <c r="BH10" s="293"/>
      <c r="BI10" s="337">
        <v>300000</v>
      </c>
      <c r="BJ10" s="338">
        <v>0</v>
      </c>
      <c r="BK10" s="126"/>
    </row>
    <row r="11" spans="1:64" ht="15.75">
      <c r="A11" s="314">
        <v>507779</v>
      </c>
      <c r="B11" s="125" t="s">
        <v>632</v>
      </c>
      <c r="C11" s="124" t="s">
        <v>133</v>
      </c>
      <c r="D11" s="126">
        <v>200037</v>
      </c>
      <c r="E11" s="148" t="s">
        <v>633</v>
      </c>
      <c r="F11" s="148" t="s">
        <v>634</v>
      </c>
      <c r="G11" s="127" t="s">
        <v>75</v>
      </c>
      <c r="H11" s="149" t="s">
        <v>597</v>
      </c>
      <c r="I11" s="126" t="s">
        <v>598</v>
      </c>
      <c r="J11" s="126" t="s">
        <v>635</v>
      </c>
      <c r="K11" s="128" t="s">
        <v>636</v>
      </c>
      <c r="L11" s="121" t="s">
        <v>519</v>
      </c>
      <c r="M11" s="123" t="s">
        <v>641</v>
      </c>
      <c r="N11" s="129">
        <v>43709</v>
      </c>
      <c r="O11" s="129">
        <v>44895</v>
      </c>
      <c r="P11" s="129">
        <v>44895</v>
      </c>
      <c r="Q11" s="323">
        <v>285000</v>
      </c>
      <c r="R11" s="319"/>
      <c r="S11" s="324">
        <v>50000</v>
      </c>
      <c r="T11" s="324"/>
      <c r="U11" s="324">
        <v>20000</v>
      </c>
      <c r="V11" s="324"/>
      <c r="W11" s="324">
        <v>5000</v>
      </c>
      <c r="X11" s="324">
        <v>20000</v>
      </c>
      <c r="Y11" s="312">
        <v>95000</v>
      </c>
      <c r="Z11" s="325">
        <v>95000</v>
      </c>
      <c r="AA11" s="325">
        <v>0</v>
      </c>
      <c r="AB11" s="326"/>
      <c r="AC11" s="324">
        <v>50000</v>
      </c>
      <c r="AD11" s="324"/>
      <c r="AE11" s="324">
        <v>20000</v>
      </c>
      <c r="AF11" s="324"/>
      <c r="AG11" s="324">
        <v>5000</v>
      </c>
      <c r="AH11" s="324">
        <v>20000</v>
      </c>
      <c r="AI11" s="312">
        <v>95000</v>
      </c>
      <c r="AJ11" s="327">
        <v>95000</v>
      </c>
      <c r="AK11" s="327">
        <v>0</v>
      </c>
      <c r="AL11" s="328"/>
      <c r="AM11" s="324">
        <v>50000</v>
      </c>
      <c r="AN11" s="324">
        <v>0</v>
      </c>
      <c r="AO11" s="324">
        <v>20000</v>
      </c>
      <c r="AP11" s="324">
        <v>0</v>
      </c>
      <c r="AQ11" s="324">
        <v>5000</v>
      </c>
      <c r="AR11" s="324">
        <v>20000</v>
      </c>
      <c r="AS11" s="293">
        <v>95000</v>
      </c>
      <c r="AT11" s="327">
        <v>95000</v>
      </c>
      <c r="AU11" s="327">
        <v>0</v>
      </c>
      <c r="AV11" s="328"/>
      <c r="AW11" s="279"/>
      <c r="AX11" s="279"/>
      <c r="AY11" s="279"/>
      <c r="AZ11" s="279"/>
      <c r="BA11" s="279"/>
      <c r="BB11" s="279"/>
      <c r="BC11" s="293"/>
      <c r="BD11" s="319"/>
      <c r="BE11" s="293"/>
      <c r="BF11" s="319"/>
      <c r="BG11" s="293"/>
      <c r="BH11" s="293"/>
      <c r="BI11" s="337">
        <v>285000</v>
      </c>
      <c r="BJ11" s="338">
        <v>0</v>
      </c>
      <c r="BK11" s="126"/>
    </row>
    <row r="12" spans="1:64" ht="15.75">
      <c r="A12" s="314">
        <v>507642</v>
      </c>
      <c r="B12" s="340" t="s">
        <v>642</v>
      </c>
      <c r="C12" s="124" t="s">
        <v>277</v>
      </c>
      <c r="D12" s="126">
        <v>200150</v>
      </c>
      <c r="E12" s="124" t="s">
        <v>643</v>
      </c>
      <c r="F12" s="124" t="s">
        <v>644</v>
      </c>
      <c r="G12" s="127" t="s">
        <v>53</v>
      </c>
      <c r="H12" s="126" t="s">
        <v>628</v>
      </c>
      <c r="I12" s="126" t="s">
        <v>598</v>
      </c>
      <c r="J12" s="126" t="s">
        <v>645</v>
      </c>
      <c r="K12" s="128"/>
      <c r="L12" s="121" t="s">
        <v>519</v>
      </c>
      <c r="M12" s="123" t="s">
        <v>646</v>
      </c>
      <c r="N12" s="129">
        <v>43709</v>
      </c>
      <c r="O12" s="129">
        <v>44895</v>
      </c>
      <c r="P12" s="129">
        <v>44895</v>
      </c>
      <c r="Q12" s="323">
        <v>189167</v>
      </c>
      <c r="R12" s="319"/>
      <c r="S12" s="324">
        <v>25000</v>
      </c>
      <c r="T12" s="324"/>
      <c r="U12" s="324">
        <v>39000</v>
      </c>
      <c r="V12" s="324">
        <v>2000</v>
      </c>
      <c r="W12" s="324">
        <v>24000</v>
      </c>
      <c r="X12" s="324">
        <v>0</v>
      </c>
      <c r="Y12" s="312">
        <v>90000</v>
      </c>
      <c r="Z12" s="325">
        <v>90000</v>
      </c>
      <c r="AA12" s="325">
        <v>0</v>
      </c>
      <c r="AB12" s="326"/>
      <c r="AC12" s="324">
        <v>25000</v>
      </c>
      <c r="AD12" s="324"/>
      <c r="AE12" s="324">
        <v>34000</v>
      </c>
      <c r="AF12" s="324">
        <v>2000</v>
      </c>
      <c r="AG12" s="324">
        <v>24000</v>
      </c>
      <c r="AH12" s="324">
        <v>0</v>
      </c>
      <c r="AI12" s="312">
        <v>85000</v>
      </c>
      <c r="AJ12" s="327">
        <v>85000</v>
      </c>
      <c r="AK12" s="327">
        <v>0</v>
      </c>
      <c r="AL12" s="328"/>
      <c r="AM12" s="324">
        <v>4167</v>
      </c>
      <c r="AN12" s="324"/>
      <c r="AO12" s="324">
        <v>5667</v>
      </c>
      <c r="AP12" s="324">
        <v>333</v>
      </c>
      <c r="AQ12" s="324">
        <v>4000</v>
      </c>
      <c r="AR12" s="324">
        <v>0</v>
      </c>
      <c r="AS12" s="293">
        <v>14167</v>
      </c>
      <c r="AT12" s="327">
        <v>14167</v>
      </c>
      <c r="AU12" s="327">
        <v>0</v>
      </c>
      <c r="AV12" s="328"/>
      <c r="AW12" s="279">
        <v>20833</v>
      </c>
      <c r="AX12" s="279"/>
      <c r="AY12" s="279">
        <v>28333</v>
      </c>
      <c r="AZ12" s="279">
        <v>20000</v>
      </c>
      <c r="BA12" s="279">
        <v>1667</v>
      </c>
      <c r="BB12" s="279"/>
      <c r="BC12" s="293">
        <v>70833</v>
      </c>
      <c r="BD12" s="319"/>
      <c r="BE12" s="293"/>
      <c r="BF12" s="319"/>
      <c r="BG12" s="293"/>
      <c r="BH12" s="293"/>
      <c r="BI12" s="337">
        <v>260000</v>
      </c>
      <c r="BJ12" s="338">
        <v>70833</v>
      </c>
      <c r="BK12" s="126"/>
    </row>
    <row r="13" spans="1:64" ht="15.75">
      <c r="A13" s="314">
        <v>502098</v>
      </c>
      <c r="B13" s="125" t="s">
        <v>647</v>
      </c>
      <c r="C13" s="124" t="s">
        <v>648</v>
      </c>
      <c r="D13" s="126">
        <v>200181</v>
      </c>
      <c r="E13" s="124" t="s">
        <v>649</v>
      </c>
      <c r="F13" s="124" t="s">
        <v>608</v>
      </c>
      <c r="G13" s="127" t="s">
        <v>46</v>
      </c>
      <c r="H13" s="126" t="s">
        <v>597</v>
      </c>
      <c r="I13" s="126" t="s">
        <v>598</v>
      </c>
      <c r="J13" s="126" t="s">
        <v>650</v>
      </c>
      <c r="K13" s="128" t="s">
        <v>651</v>
      </c>
      <c r="L13" s="121" t="s">
        <v>652</v>
      </c>
      <c r="M13" s="123" t="s">
        <v>653</v>
      </c>
      <c r="N13" s="129">
        <v>42826</v>
      </c>
      <c r="O13" s="129">
        <v>43190</v>
      </c>
      <c r="P13" s="129">
        <v>43281</v>
      </c>
      <c r="Q13" s="323">
        <v>37500</v>
      </c>
      <c r="R13" s="319"/>
      <c r="S13" s="324">
        <v>21250</v>
      </c>
      <c r="T13" s="324">
        <v>3250</v>
      </c>
      <c r="U13" s="324">
        <v>13000</v>
      </c>
      <c r="V13" s="324"/>
      <c r="W13" s="324">
        <v>0</v>
      </c>
      <c r="X13" s="324">
        <v>0</v>
      </c>
      <c r="Y13" s="312">
        <v>37500</v>
      </c>
      <c r="Z13" s="325">
        <v>37500</v>
      </c>
      <c r="AA13" s="325">
        <v>0</v>
      </c>
      <c r="AB13" s="326"/>
      <c r="AC13" s="324" t="s">
        <v>602</v>
      </c>
      <c r="AD13" s="324" t="s">
        <v>602</v>
      </c>
      <c r="AE13" s="324" t="s">
        <v>602</v>
      </c>
      <c r="AF13" s="324" t="s">
        <v>602</v>
      </c>
      <c r="AG13" s="324" t="s">
        <v>602</v>
      </c>
      <c r="AH13" s="324"/>
      <c r="AI13" s="312">
        <v>0</v>
      </c>
      <c r="AJ13" s="327">
        <v>0</v>
      </c>
      <c r="AK13" s="327">
        <v>0</v>
      </c>
      <c r="AL13" s="328"/>
      <c r="AM13" s="324" t="s">
        <v>602</v>
      </c>
      <c r="AN13" s="324" t="s">
        <v>602</v>
      </c>
      <c r="AO13" s="324" t="s">
        <v>602</v>
      </c>
      <c r="AP13" s="324" t="s">
        <v>602</v>
      </c>
      <c r="AQ13" s="324" t="s">
        <v>602</v>
      </c>
      <c r="AR13" s="279" t="s">
        <v>602</v>
      </c>
      <c r="AS13" s="293">
        <v>0</v>
      </c>
      <c r="AT13" s="327">
        <v>0</v>
      </c>
      <c r="AU13" s="327">
        <v>0</v>
      </c>
      <c r="AV13" s="328"/>
      <c r="AW13" s="279"/>
      <c r="AX13" s="279"/>
      <c r="AY13" s="279"/>
      <c r="AZ13" s="279"/>
      <c r="BA13" s="279"/>
      <c r="BB13" s="279"/>
      <c r="BC13" s="293"/>
      <c r="BD13" s="319"/>
      <c r="BE13" s="293"/>
      <c r="BF13" s="319"/>
      <c r="BG13" s="293"/>
      <c r="BH13" s="293"/>
      <c r="BI13" s="337">
        <v>37500</v>
      </c>
      <c r="BJ13" s="338">
        <v>0</v>
      </c>
      <c r="BK13" s="124" t="s">
        <v>654</v>
      </c>
    </row>
    <row r="14" spans="1:64" ht="15.75">
      <c r="A14" s="314">
        <v>500974</v>
      </c>
      <c r="B14" s="125" t="s">
        <v>655</v>
      </c>
      <c r="C14" s="124" t="s">
        <v>656</v>
      </c>
      <c r="D14" s="126">
        <v>200274</v>
      </c>
      <c r="E14" s="121" t="s">
        <v>657</v>
      </c>
      <c r="F14" s="121" t="s">
        <v>658</v>
      </c>
      <c r="G14" s="127" t="s">
        <v>46</v>
      </c>
      <c r="H14" s="123" t="s">
        <v>628</v>
      </c>
      <c r="I14" s="126" t="s">
        <v>598</v>
      </c>
      <c r="J14" s="126" t="s">
        <v>659</v>
      </c>
      <c r="K14" s="161" t="s">
        <v>660</v>
      </c>
      <c r="L14" s="121" t="s">
        <v>19</v>
      </c>
      <c r="M14" s="123" t="s">
        <v>661</v>
      </c>
      <c r="N14" s="129">
        <v>42522</v>
      </c>
      <c r="O14" s="129">
        <v>43251</v>
      </c>
      <c r="P14" s="129">
        <v>43251</v>
      </c>
      <c r="Q14" s="330">
        <v>99000</v>
      </c>
      <c r="R14" s="324">
        <v>49500</v>
      </c>
      <c r="S14" s="324">
        <v>0</v>
      </c>
      <c r="T14" s="324">
        <v>0</v>
      </c>
      <c r="U14" s="324">
        <v>0</v>
      </c>
      <c r="V14" s="324">
        <v>0</v>
      </c>
      <c r="W14" s="324">
        <v>0</v>
      </c>
      <c r="X14" s="324">
        <v>0</v>
      </c>
      <c r="Y14" s="312">
        <v>49500</v>
      </c>
      <c r="Z14" s="325">
        <v>49500</v>
      </c>
      <c r="AA14" s="325">
        <v>0</v>
      </c>
      <c r="AB14" s="324">
        <v>49500</v>
      </c>
      <c r="AC14" s="324">
        <v>0</v>
      </c>
      <c r="AD14" s="324">
        <v>0</v>
      </c>
      <c r="AE14" s="324">
        <v>0</v>
      </c>
      <c r="AF14" s="324">
        <v>0</v>
      </c>
      <c r="AG14" s="324">
        <v>0</v>
      </c>
      <c r="AH14" s="324"/>
      <c r="AI14" s="312">
        <v>49500</v>
      </c>
      <c r="AJ14" s="327">
        <v>49500</v>
      </c>
      <c r="AK14" s="327">
        <v>0</v>
      </c>
      <c r="AL14" s="339"/>
      <c r="AM14" s="324">
        <v>0</v>
      </c>
      <c r="AN14" s="324">
        <v>0</v>
      </c>
      <c r="AO14" s="324">
        <v>0</v>
      </c>
      <c r="AP14" s="324">
        <v>0</v>
      </c>
      <c r="AQ14" s="324">
        <v>0</v>
      </c>
      <c r="AR14" s="324">
        <v>0</v>
      </c>
      <c r="AS14" s="293">
        <v>0</v>
      </c>
      <c r="AT14" s="327">
        <v>0</v>
      </c>
      <c r="AU14" s="327">
        <v>0</v>
      </c>
      <c r="AV14" s="328"/>
      <c r="AW14" s="284"/>
      <c r="AX14" s="284"/>
      <c r="AY14" s="284"/>
      <c r="AZ14" s="284"/>
      <c r="BA14" s="284"/>
      <c r="BB14" s="284"/>
      <c r="BC14" s="293"/>
      <c r="BD14" s="319"/>
      <c r="BE14" s="293"/>
      <c r="BF14" s="319"/>
      <c r="BG14" s="293"/>
      <c r="BH14" s="293"/>
      <c r="BI14" s="337">
        <v>99000</v>
      </c>
      <c r="BJ14" s="338">
        <v>0</v>
      </c>
      <c r="BK14" s="280"/>
    </row>
    <row r="15" spans="1:64" ht="15.75">
      <c r="A15" s="314">
        <v>501344</v>
      </c>
      <c r="B15" s="125" t="s">
        <v>662</v>
      </c>
      <c r="C15" s="124" t="s">
        <v>663</v>
      </c>
      <c r="D15" s="126">
        <v>200311</v>
      </c>
      <c r="E15" s="124" t="s">
        <v>664</v>
      </c>
      <c r="F15" s="124" t="s">
        <v>665</v>
      </c>
      <c r="G15" s="127" t="s">
        <v>46</v>
      </c>
      <c r="H15" s="126" t="s">
        <v>628</v>
      </c>
      <c r="I15" s="126" t="s">
        <v>598</v>
      </c>
      <c r="J15" s="126" t="s">
        <v>659</v>
      </c>
      <c r="K15" s="128" t="s">
        <v>666</v>
      </c>
      <c r="L15" s="121" t="s">
        <v>515</v>
      </c>
      <c r="M15" s="123" t="s">
        <v>667</v>
      </c>
      <c r="N15" s="129">
        <v>42614</v>
      </c>
      <c r="O15" s="129">
        <v>43708</v>
      </c>
      <c r="P15" s="129">
        <v>43708</v>
      </c>
      <c r="Q15" s="323">
        <v>187500</v>
      </c>
      <c r="R15" s="319"/>
      <c r="S15" s="324">
        <v>23900</v>
      </c>
      <c r="T15" s="324">
        <v>0</v>
      </c>
      <c r="U15" s="324">
        <v>13600</v>
      </c>
      <c r="V15" s="324"/>
      <c r="W15" s="324">
        <v>0</v>
      </c>
      <c r="X15" s="324">
        <v>0</v>
      </c>
      <c r="Y15" s="312">
        <v>37500</v>
      </c>
      <c r="Z15" s="325">
        <v>37500</v>
      </c>
      <c r="AA15" s="325">
        <v>0</v>
      </c>
      <c r="AB15" s="326"/>
      <c r="AC15" s="324">
        <v>47200</v>
      </c>
      <c r="AD15" s="324">
        <v>0</v>
      </c>
      <c r="AE15" s="324">
        <v>27800</v>
      </c>
      <c r="AF15" s="324">
        <v>0</v>
      </c>
      <c r="AG15" s="324">
        <v>0</v>
      </c>
      <c r="AH15" s="324"/>
      <c r="AI15" s="312">
        <v>75000</v>
      </c>
      <c r="AJ15" s="327">
        <v>75000</v>
      </c>
      <c r="AK15" s="327">
        <v>0</v>
      </c>
      <c r="AL15" s="328"/>
      <c r="AM15" s="279">
        <v>46600</v>
      </c>
      <c r="AN15" s="279">
        <v>0</v>
      </c>
      <c r="AO15" s="279">
        <v>28400</v>
      </c>
      <c r="AP15" s="279"/>
      <c r="AQ15" s="279">
        <v>0</v>
      </c>
      <c r="AR15" s="279">
        <v>0</v>
      </c>
      <c r="AS15" s="293">
        <v>75000</v>
      </c>
      <c r="AT15" s="327">
        <v>75000</v>
      </c>
      <c r="AU15" s="327">
        <v>0</v>
      </c>
      <c r="AV15" s="328"/>
      <c r="AW15" s="279"/>
      <c r="AX15" s="279"/>
      <c r="AY15" s="279"/>
      <c r="AZ15" s="279"/>
      <c r="BA15" s="279"/>
      <c r="BB15" s="279"/>
      <c r="BC15" s="293"/>
      <c r="BD15" s="319"/>
      <c r="BE15" s="293"/>
      <c r="BF15" s="319"/>
      <c r="BG15" s="293"/>
      <c r="BH15" s="293"/>
      <c r="BI15" s="337">
        <v>187500</v>
      </c>
      <c r="BJ15" s="338">
        <v>0</v>
      </c>
      <c r="BK15" s="126"/>
    </row>
    <row r="16" spans="1:64" ht="15.75">
      <c r="A16" s="314">
        <v>509703</v>
      </c>
      <c r="B16" s="188" t="s">
        <v>668</v>
      </c>
      <c r="C16" s="163" t="s">
        <v>669</v>
      </c>
      <c r="D16" s="163">
        <v>200483</v>
      </c>
      <c r="E16" s="170" t="s">
        <v>670</v>
      </c>
      <c r="F16" s="170" t="s">
        <v>671</v>
      </c>
      <c r="G16" s="185" t="s">
        <v>68</v>
      </c>
      <c r="H16" s="164" t="s">
        <v>628</v>
      </c>
      <c r="I16" s="163" t="s">
        <v>598</v>
      </c>
      <c r="J16" s="163" t="s">
        <v>672</v>
      </c>
      <c r="K16" s="128" t="s">
        <v>673</v>
      </c>
      <c r="L16" s="121" t="s">
        <v>19</v>
      </c>
      <c r="M16" s="123" t="s">
        <v>674</v>
      </c>
      <c r="N16" s="129">
        <v>44044</v>
      </c>
      <c r="O16" s="129">
        <v>44408</v>
      </c>
      <c r="P16" s="129">
        <v>44408</v>
      </c>
      <c r="Q16" s="323">
        <v>20000</v>
      </c>
      <c r="R16" s="319"/>
      <c r="S16" s="324">
        <v>10000</v>
      </c>
      <c r="T16" s="324">
        <v>0</v>
      </c>
      <c r="U16" s="324">
        <v>10000</v>
      </c>
      <c r="V16" s="324">
        <v>0</v>
      </c>
      <c r="W16" s="324">
        <v>0</v>
      </c>
      <c r="X16" s="324">
        <v>0</v>
      </c>
      <c r="Y16" s="312">
        <v>20000</v>
      </c>
      <c r="Z16" s="325">
        <v>20000</v>
      </c>
      <c r="AA16" s="325">
        <v>0</v>
      </c>
      <c r="AB16" s="326"/>
      <c r="AC16" s="324">
        <v>0</v>
      </c>
      <c r="AD16" s="324">
        <v>0</v>
      </c>
      <c r="AE16" s="324">
        <v>0</v>
      </c>
      <c r="AF16" s="324">
        <v>0</v>
      </c>
      <c r="AG16" s="324">
        <v>0</v>
      </c>
      <c r="AH16" s="324">
        <v>0</v>
      </c>
      <c r="AI16" s="312">
        <v>0</v>
      </c>
      <c r="AJ16" s="327">
        <v>0</v>
      </c>
      <c r="AK16" s="327">
        <v>0</v>
      </c>
      <c r="AL16" s="328"/>
      <c r="AM16" s="324">
        <v>0</v>
      </c>
      <c r="AN16" s="324">
        <v>0</v>
      </c>
      <c r="AO16" s="324">
        <v>0</v>
      </c>
      <c r="AP16" s="324">
        <v>0</v>
      </c>
      <c r="AQ16" s="324">
        <v>0</v>
      </c>
      <c r="AR16" s="324">
        <v>0</v>
      </c>
      <c r="AS16" s="293">
        <v>0</v>
      </c>
      <c r="AT16" s="327">
        <v>0</v>
      </c>
      <c r="AU16" s="327">
        <v>0</v>
      </c>
      <c r="AV16" s="328"/>
      <c r="AW16" s="279"/>
      <c r="AX16" s="279"/>
      <c r="AY16" s="279"/>
      <c r="AZ16" s="279"/>
      <c r="BA16" s="279"/>
      <c r="BB16" s="279"/>
      <c r="BC16" s="293"/>
      <c r="BD16" s="319"/>
      <c r="BE16" s="293"/>
      <c r="BF16" s="319"/>
      <c r="BG16" s="293"/>
      <c r="BH16" s="293"/>
      <c r="BI16" s="337">
        <v>20000</v>
      </c>
      <c r="BJ16" s="338">
        <v>0</v>
      </c>
      <c r="BK16" s="126"/>
    </row>
    <row r="17" spans="1:63" ht="15.75">
      <c r="A17" s="314">
        <v>506472</v>
      </c>
      <c r="B17" s="125" t="s">
        <v>675</v>
      </c>
      <c r="C17" s="124" t="s">
        <v>676</v>
      </c>
      <c r="D17" s="126">
        <v>200612</v>
      </c>
      <c r="E17" s="124" t="s">
        <v>677</v>
      </c>
      <c r="F17" s="124" t="s">
        <v>678</v>
      </c>
      <c r="G17" s="127" t="s">
        <v>53</v>
      </c>
      <c r="H17" s="126" t="s">
        <v>597</v>
      </c>
      <c r="I17" s="126" t="s">
        <v>598</v>
      </c>
      <c r="J17" s="126" t="s">
        <v>650</v>
      </c>
      <c r="K17" s="128" t="s">
        <v>630</v>
      </c>
      <c r="L17" s="121" t="s">
        <v>19</v>
      </c>
      <c r="M17" s="123" t="s">
        <v>631</v>
      </c>
      <c r="N17" s="129">
        <v>43556</v>
      </c>
      <c r="O17" s="129">
        <v>44459</v>
      </c>
      <c r="P17" s="129">
        <v>44459</v>
      </c>
      <c r="Q17" s="323">
        <v>21934</v>
      </c>
      <c r="R17" s="319"/>
      <c r="S17" s="324">
        <v>17500</v>
      </c>
      <c r="T17" s="324">
        <v>0</v>
      </c>
      <c r="U17" s="324">
        <v>4434</v>
      </c>
      <c r="V17" s="324">
        <v>0</v>
      </c>
      <c r="W17" s="324">
        <v>0</v>
      </c>
      <c r="X17" s="324">
        <v>0</v>
      </c>
      <c r="Y17" s="312">
        <v>21934</v>
      </c>
      <c r="Z17" s="325">
        <v>21934</v>
      </c>
      <c r="AA17" s="325">
        <v>0</v>
      </c>
      <c r="AB17" s="326"/>
      <c r="AC17" s="324" t="s">
        <v>602</v>
      </c>
      <c r="AD17" s="324" t="s">
        <v>602</v>
      </c>
      <c r="AE17" s="324" t="s">
        <v>602</v>
      </c>
      <c r="AF17" s="324" t="s">
        <v>602</v>
      </c>
      <c r="AG17" s="324" t="s">
        <v>602</v>
      </c>
      <c r="AH17" s="324"/>
      <c r="AI17" s="312"/>
      <c r="AJ17" s="327">
        <v>0</v>
      </c>
      <c r="AK17" s="327">
        <v>0</v>
      </c>
      <c r="AL17" s="339"/>
      <c r="AM17" s="324">
        <v>0</v>
      </c>
      <c r="AN17" s="324">
        <v>0</v>
      </c>
      <c r="AO17" s="324">
        <v>0</v>
      </c>
      <c r="AP17" s="324">
        <v>0</v>
      </c>
      <c r="AQ17" s="324">
        <v>0</v>
      </c>
      <c r="AR17" s="324">
        <v>0</v>
      </c>
      <c r="AS17" s="293"/>
      <c r="AT17" s="327">
        <v>0</v>
      </c>
      <c r="AU17" s="327">
        <v>0</v>
      </c>
      <c r="AV17" s="328"/>
      <c r="AW17" s="279"/>
      <c r="AX17" s="279"/>
      <c r="AY17" s="279"/>
      <c r="AZ17" s="279"/>
      <c r="BA17" s="279"/>
      <c r="BB17" s="279"/>
      <c r="BC17" s="293"/>
      <c r="BD17" s="319"/>
      <c r="BE17" s="293"/>
      <c r="BF17" s="319"/>
      <c r="BG17" s="293"/>
      <c r="BH17" s="293"/>
      <c r="BI17" s="337">
        <v>21934</v>
      </c>
      <c r="BJ17" s="338">
        <v>0</v>
      </c>
      <c r="BK17" s="126" t="s">
        <v>679</v>
      </c>
    </row>
    <row r="18" spans="1:63" ht="15.75">
      <c r="A18" s="314">
        <v>512729</v>
      </c>
      <c r="B18" s="125" t="s">
        <v>680</v>
      </c>
      <c r="C18" s="124" t="s">
        <v>681</v>
      </c>
      <c r="D18" s="126">
        <v>200739</v>
      </c>
      <c r="E18" s="148" t="s">
        <v>682</v>
      </c>
      <c r="F18" s="148" t="s">
        <v>608</v>
      </c>
      <c r="G18" s="185" t="s">
        <v>53</v>
      </c>
      <c r="H18" s="123" t="s">
        <v>628</v>
      </c>
      <c r="I18" s="126" t="s">
        <v>598</v>
      </c>
      <c r="J18" s="126" t="s">
        <v>683</v>
      </c>
      <c r="K18" s="128" t="s">
        <v>684</v>
      </c>
      <c r="L18" s="123" t="s">
        <v>685</v>
      </c>
      <c r="M18" s="123" t="s">
        <v>686</v>
      </c>
      <c r="N18" s="129">
        <v>44409</v>
      </c>
      <c r="O18" s="129">
        <v>44773</v>
      </c>
      <c r="P18" s="129">
        <v>44773</v>
      </c>
      <c r="Q18" s="330">
        <v>82500</v>
      </c>
      <c r="R18" s="331"/>
      <c r="S18" s="324">
        <v>40000</v>
      </c>
      <c r="T18" s="324"/>
      <c r="U18" s="324">
        <v>37500</v>
      </c>
      <c r="V18" s="324"/>
      <c r="W18" s="324">
        <v>5000</v>
      </c>
      <c r="X18" s="324">
        <v>0</v>
      </c>
      <c r="Y18" s="312">
        <v>82500</v>
      </c>
      <c r="Z18" s="325">
        <v>82500</v>
      </c>
      <c r="AA18" s="325">
        <v>0</v>
      </c>
      <c r="AB18" s="326"/>
      <c r="AC18" s="324"/>
      <c r="AD18" s="324"/>
      <c r="AE18" s="324"/>
      <c r="AF18" s="324"/>
      <c r="AG18" s="324"/>
      <c r="AH18" s="324"/>
      <c r="AI18" s="312"/>
      <c r="AJ18" s="327"/>
      <c r="AK18" s="327"/>
      <c r="AL18" s="328"/>
      <c r="AM18" s="324"/>
      <c r="AN18" s="324"/>
      <c r="AO18" s="324"/>
      <c r="AP18" s="324"/>
      <c r="AQ18" s="324"/>
      <c r="AR18" s="324"/>
      <c r="AS18" s="293"/>
      <c r="AT18" s="327"/>
      <c r="AU18" s="327"/>
      <c r="AV18" s="328"/>
      <c r="AW18" s="324"/>
      <c r="AX18" s="324"/>
      <c r="AY18" s="324"/>
      <c r="AZ18" s="324"/>
      <c r="BA18" s="324"/>
      <c r="BB18" s="324"/>
      <c r="BC18" s="293"/>
      <c r="BD18" s="319"/>
      <c r="BE18" s="293"/>
      <c r="BF18" s="319"/>
      <c r="BG18" s="293"/>
      <c r="BH18" s="293"/>
      <c r="BI18" s="337">
        <v>82500</v>
      </c>
      <c r="BJ18" s="338">
        <v>0</v>
      </c>
      <c r="BK18" s="124"/>
    </row>
    <row r="19" spans="1:63" ht="15.75">
      <c r="A19" s="314">
        <v>500461</v>
      </c>
      <c r="B19" s="125" t="s">
        <v>687</v>
      </c>
      <c r="C19" s="124" t="s">
        <v>688</v>
      </c>
      <c r="D19" s="126">
        <v>200775</v>
      </c>
      <c r="E19" s="124" t="s">
        <v>689</v>
      </c>
      <c r="F19" s="124" t="s">
        <v>690</v>
      </c>
      <c r="G19" s="127" t="s">
        <v>53</v>
      </c>
      <c r="H19" s="126" t="s">
        <v>597</v>
      </c>
      <c r="I19" s="126" t="s">
        <v>598</v>
      </c>
      <c r="J19" s="126" t="s">
        <v>683</v>
      </c>
      <c r="K19" s="126" t="s">
        <v>684</v>
      </c>
      <c r="L19" s="121" t="s">
        <v>652</v>
      </c>
      <c r="M19" s="123" t="s">
        <v>638</v>
      </c>
      <c r="N19" s="129">
        <v>42339</v>
      </c>
      <c r="O19" s="129">
        <v>42551</v>
      </c>
      <c r="P19" s="129">
        <v>42580</v>
      </c>
      <c r="Q19" s="323">
        <v>24994</v>
      </c>
      <c r="R19" s="319"/>
      <c r="S19" s="324">
        <v>24994</v>
      </c>
      <c r="T19" s="324">
        <v>0</v>
      </c>
      <c r="U19" s="324">
        <v>0</v>
      </c>
      <c r="V19" s="324"/>
      <c r="W19" s="324">
        <v>0</v>
      </c>
      <c r="X19" s="324">
        <v>0</v>
      </c>
      <c r="Y19" s="312">
        <v>24994</v>
      </c>
      <c r="Z19" s="325">
        <v>24994</v>
      </c>
      <c r="AA19" s="325">
        <v>0</v>
      </c>
      <c r="AB19" s="326"/>
      <c r="AC19" s="324" t="s">
        <v>602</v>
      </c>
      <c r="AD19" s="324" t="s">
        <v>602</v>
      </c>
      <c r="AE19" s="324" t="s">
        <v>602</v>
      </c>
      <c r="AF19" s="324" t="s">
        <v>602</v>
      </c>
      <c r="AG19" s="324" t="s">
        <v>602</v>
      </c>
      <c r="AH19" s="324"/>
      <c r="AI19" s="312">
        <v>0</v>
      </c>
      <c r="AJ19" s="327">
        <v>0</v>
      </c>
      <c r="AK19" s="327">
        <v>0</v>
      </c>
      <c r="AL19" s="328"/>
      <c r="AM19" s="324" t="s">
        <v>602</v>
      </c>
      <c r="AN19" s="324" t="s">
        <v>602</v>
      </c>
      <c r="AO19" s="324" t="s">
        <v>602</v>
      </c>
      <c r="AP19" s="324" t="s">
        <v>602</v>
      </c>
      <c r="AQ19" s="324" t="s">
        <v>602</v>
      </c>
      <c r="AR19" s="279" t="s">
        <v>602</v>
      </c>
      <c r="AS19" s="293">
        <v>0</v>
      </c>
      <c r="AT19" s="327">
        <v>0</v>
      </c>
      <c r="AU19" s="327">
        <v>0</v>
      </c>
      <c r="AV19" s="328"/>
      <c r="AW19" s="279"/>
      <c r="AX19" s="279"/>
      <c r="AY19" s="279"/>
      <c r="AZ19" s="279"/>
      <c r="BA19" s="279"/>
      <c r="BB19" s="279"/>
      <c r="BC19" s="293"/>
      <c r="BD19" s="319"/>
      <c r="BE19" s="293"/>
      <c r="BF19" s="319"/>
      <c r="BG19" s="293"/>
      <c r="BH19" s="293"/>
      <c r="BI19" s="337">
        <v>24994</v>
      </c>
      <c r="BJ19" s="338">
        <v>0</v>
      </c>
      <c r="BK19" s="126" t="s">
        <v>691</v>
      </c>
    </row>
    <row r="20" spans="1:63" ht="15.75">
      <c r="A20" s="314">
        <v>501340</v>
      </c>
      <c r="B20" s="125" t="s">
        <v>692</v>
      </c>
      <c r="C20" s="124" t="s">
        <v>693</v>
      </c>
      <c r="D20" s="126">
        <v>200821</v>
      </c>
      <c r="E20" s="121" t="s">
        <v>694</v>
      </c>
      <c r="F20" s="121" t="s">
        <v>695</v>
      </c>
      <c r="G20" s="127" t="s">
        <v>46</v>
      </c>
      <c r="H20" s="126" t="s">
        <v>628</v>
      </c>
      <c r="I20" s="126" t="s">
        <v>598</v>
      </c>
      <c r="J20" s="126" t="s">
        <v>696</v>
      </c>
      <c r="K20" s="128" t="s">
        <v>697</v>
      </c>
      <c r="L20" s="124" t="s">
        <v>515</v>
      </c>
      <c r="M20" s="126" t="s">
        <v>698</v>
      </c>
      <c r="N20" s="129">
        <v>42614</v>
      </c>
      <c r="O20" s="129">
        <v>43708</v>
      </c>
      <c r="P20" s="129">
        <v>43708</v>
      </c>
      <c r="Q20" s="330">
        <v>300000</v>
      </c>
      <c r="R20" s="331"/>
      <c r="S20" s="324">
        <v>50000</v>
      </c>
      <c r="T20" s="324">
        <v>0</v>
      </c>
      <c r="U20" s="324">
        <v>50000</v>
      </c>
      <c r="V20" s="324"/>
      <c r="W20" s="324">
        <v>0</v>
      </c>
      <c r="X20" s="324">
        <v>0</v>
      </c>
      <c r="Y20" s="312">
        <v>100000</v>
      </c>
      <c r="Z20" s="325">
        <v>100000</v>
      </c>
      <c r="AA20" s="325">
        <v>0</v>
      </c>
      <c r="AB20" s="326"/>
      <c r="AC20" s="324">
        <v>50000</v>
      </c>
      <c r="AD20" s="324">
        <v>0</v>
      </c>
      <c r="AE20" s="324">
        <v>50000</v>
      </c>
      <c r="AF20" s="324">
        <v>0</v>
      </c>
      <c r="AG20" s="324">
        <v>0</v>
      </c>
      <c r="AH20" s="324"/>
      <c r="AI20" s="312">
        <v>100000</v>
      </c>
      <c r="AJ20" s="327">
        <v>100000</v>
      </c>
      <c r="AK20" s="327">
        <v>0</v>
      </c>
      <c r="AL20" s="328"/>
      <c r="AM20" s="279">
        <v>50000</v>
      </c>
      <c r="AN20" s="279">
        <v>0</v>
      </c>
      <c r="AO20" s="279">
        <v>50000</v>
      </c>
      <c r="AP20" s="279"/>
      <c r="AQ20" s="279">
        <v>0</v>
      </c>
      <c r="AR20" s="279">
        <v>0</v>
      </c>
      <c r="AS20" s="293">
        <v>100000</v>
      </c>
      <c r="AT20" s="327">
        <v>100000</v>
      </c>
      <c r="AU20" s="327">
        <v>0</v>
      </c>
      <c r="AV20" s="328"/>
      <c r="AW20" s="279"/>
      <c r="AX20" s="279"/>
      <c r="AY20" s="279"/>
      <c r="AZ20" s="279"/>
      <c r="BA20" s="279"/>
      <c r="BB20" s="279"/>
      <c r="BC20" s="293"/>
      <c r="BD20" s="319"/>
      <c r="BE20" s="293"/>
      <c r="BF20" s="319"/>
      <c r="BG20" s="293"/>
      <c r="BH20" s="293"/>
      <c r="BI20" s="337">
        <v>300000</v>
      </c>
      <c r="BJ20" s="338">
        <v>0</v>
      </c>
      <c r="BK20" s="280"/>
    </row>
    <row r="21" spans="1:63" ht="15.75">
      <c r="A21" s="314">
        <v>512329</v>
      </c>
      <c r="B21" s="125" t="s">
        <v>699</v>
      </c>
      <c r="C21" s="124" t="s">
        <v>700</v>
      </c>
      <c r="D21" s="126">
        <v>201659</v>
      </c>
      <c r="E21" s="124" t="s">
        <v>701</v>
      </c>
      <c r="F21" s="124" t="s">
        <v>702</v>
      </c>
      <c r="G21" s="127" t="s">
        <v>46</v>
      </c>
      <c r="H21" s="126" t="s">
        <v>628</v>
      </c>
      <c r="I21" s="123" t="s">
        <v>703</v>
      </c>
      <c r="J21" s="126" t="s">
        <v>704</v>
      </c>
      <c r="K21" s="128" t="s">
        <v>705</v>
      </c>
      <c r="L21" s="121" t="s">
        <v>5</v>
      </c>
      <c r="M21" s="123" t="s">
        <v>706</v>
      </c>
      <c r="N21" s="129">
        <v>44287</v>
      </c>
      <c r="O21" s="129">
        <v>44651</v>
      </c>
      <c r="P21" s="129">
        <v>44651</v>
      </c>
      <c r="Q21" s="323">
        <v>55000</v>
      </c>
      <c r="R21" s="319"/>
      <c r="S21" s="324">
        <v>40000</v>
      </c>
      <c r="T21" s="324"/>
      <c r="U21" s="324">
        <v>11300</v>
      </c>
      <c r="V21" s="324"/>
      <c r="W21" s="324">
        <v>3700</v>
      </c>
      <c r="X21" s="324"/>
      <c r="Y21" s="312">
        <v>55000</v>
      </c>
      <c r="Z21" s="325">
        <v>55000</v>
      </c>
      <c r="AA21" s="325">
        <v>0</v>
      </c>
      <c r="AB21" s="326"/>
      <c r="AC21" s="324">
        <v>45000</v>
      </c>
      <c r="AD21" s="324"/>
      <c r="AE21" s="324">
        <v>7500</v>
      </c>
      <c r="AF21" s="324"/>
      <c r="AG21" s="324">
        <v>2500</v>
      </c>
      <c r="AH21" s="324"/>
      <c r="AI21" s="312">
        <v>55000</v>
      </c>
      <c r="AJ21" s="327">
        <v>55000</v>
      </c>
      <c r="AK21" s="327">
        <v>0</v>
      </c>
      <c r="AL21" s="328"/>
      <c r="AM21" s="324"/>
      <c r="AN21" s="324"/>
      <c r="AO21" s="324"/>
      <c r="AP21" s="324"/>
      <c r="AQ21" s="324"/>
      <c r="AR21" s="324"/>
      <c r="AS21" s="293"/>
      <c r="AT21" s="327"/>
      <c r="AU21" s="327"/>
      <c r="AV21" s="328"/>
      <c r="AW21" s="279"/>
      <c r="AX21" s="279"/>
      <c r="AY21" s="279"/>
      <c r="AZ21" s="279"/>
      <c r="BA21" s="279"/>
      <c r="BB21" s="279"/>
      <c r="BC21" s="293"/>
      <c r="BD21" s="319"/>
      <c r="BE21" s="293"/>
      <c r="BF21" s="319"/>
      <c r="BG21" s="293"/>
      <c r="BH21" s="293"/>
      <c r="BI21" s="337">
        <v>110000</v>
      </c>
      <c r="BJ21" s="338">
        <v>55000</v>
      </c>
      <c r="BK21" s="126"/>
    </row>
    <row r="22" spans="1:63" ht="15.75">
      <c r="A22" s="314">
        <v>499903</v>
      </c>
      <c r="B22" s="125" t="s">
        <v>707</v>
      </c>
      <c r="C22" s="124" t="s">
        <v>120</v>
      </c>
      <c r="D22" s="126">
        <v>201921</v>
      </c>
      <c r="E22" s="124" t="s">
        <v>708</v>
      </c>
      <c r="F22" s="124" t="s">
        <v>709</v>
      </c>
      <c r="G22" s="127" t="s">
        <v>46</v>
      </c>
      <c r="H22" s="126" t="s">
        <v>597</v>
      </c>
      <c r="I22" s="126" t="s">
        <v>609</v>
      </c>
      <c r="J22" s="126" t="s">
        <v>710</v>
      </c>
      <c r="K22" s="128" t="s">
        <v>711</v>
      </c>
      <c r="L22" s="121" t="s">
        <v>637</v>
      </c>
      <c r="M22" s="123" t="s">
        <v>638</v>
      </c>
      <c r="N22" s="129">
        <v>42248</v>
      </c>
      <c r="O22" s="129">
        <v>42643</v>
      </c>
      <c r="P22" s="129">
        <v>42668</v>
      </c>
      <c r="Q22" s="323">
        <v>166666</v>
      </c>
      <c r="R22" s="324">
        <v>90000</v>
      </c>
      <c r="S22" s="324"/>
      <c r="T22" s="324">
        <v>0</v>
      </c>
      <c r="U22" s="324">
        <v>0</v>
      </c>
      <c r="V22" s="324"/>
      <c r="W22" s="324">
        <v>0</v>
      </c>
      <c r="X22" s="324">
        <v>76666</v>
      </c>
      <c r="Y22" s="312">
        <v>166666</v>
      </c>
      <c r="Z22" s="325">
        <v>166666</v>
      </c>
      <c r="AA22" s="325">
        <v>0</v>
      </c>
      <c r="AB22" s="326"/>
      <c r="AC22" s="324" t="s">
        <v>602</v>
      </c>
      <c r="AD22" s="324" t="s">
        <v>602</v>
      </c>
      <c r="AE22" s="324" t="s">
        <v>602</v>
      </c>
      <c r="AF22" s="324" t="s">
        <v>602</v>
      </c>
      <c r="AG22" s="324" t="s">
        <v>602</v>
      </c>
      <c r="AH22" s="324"/>
      <c r="AI22" s="312">
        <v>0</v>
      </c>
      <c r="AJ22" s="327">
        <v>0</v>
      </c>
      <c r="AK22" s="327">
        <v>0</v>
      </c>
      <c r="AL22" s="328"/>
      <c r="AM22" s="324" t="s">
        <v>602</v>
      </c>
      <c r="AN22" s="324" t="s">
        <v>602</v>
      </c>
      <c r="AO22" s="324" t="s">
        <v>602</v>
      </c>
      <c r="AP22" s="324" t="s">
        <v>602</v>
      </c>
      <c r="AQ22" s="324" t="s">
        <v>602</v>
      </c>
      <c r="AR22" s="279" t="s">
        <v>602</v>
      </c>
      <c r="AS22" s="293">
        <v>0</v>
      </c>
      <c r="AT22" s="327">
        <v>0</v>
      </c>
      <c r="AU22" s="327">
        <v>0</v>
      </c>
      <c r="AV22" s="328"/>
      <c r="AW22" s="324" t="s">
        <v>602</v>
      </c>
      <c r="AX22" s="324" t="s">
        <v>602</v>
      </c>
      <c r="AY22" s="324" t="s">
        <v>602</v>
      </c>
      <c r="AZ22" s="324" t="s">
        <v>602</v>
      </c>
      <c r="BA22" s="324"/>
      <c r="BB22" s="324" t="s">
        <v>602</v>
      </c>
      <c r="BC22" s="293"/>
      <c r="BD22" s="319"/>
      <c r="BE22" s="293"/>
      <c r="BF22" s="319"/>
      <c r="BG22" s="293"/>
      <c r="BH22" s="293"/>
      <c r="BI22" s="337">
        <v>166666</v>
      </c>
      <c r="BJ22" s="338">
        <v>0</v>
      </c>
      <c r="BK22" s="126"/>
    </row>
    <row r="23" spans="1:63" ht="15.75">
      <c r="A23" s="314">
        <v>501336</v>
      </c>
      <c r="B23" s="125" t="s">
        <v>707</v>
      </c>
      <c r="C23" s="124" t="s">
        <v>120</v>
      </c>
      <c r="D23" s="126">
        <v>201921</v>
      </c>
      <c r="E23" s="124" t="s">
        <v>708</v>
      </c>
      <c r="F23" s="124" t="s">
        <v>709</v>
      </c>
      <c r="G23" s="127" t="s">
        <v>46</v>
      </c>
      <c r="H23" s="126" t="s">
        <v>628</v>
      </c>
      <c r="I23" s="126" t="s">
        <v>609</v>
      </c>
      <c r="J23" s="126" t="s">
        <v>710</v>
      </c>
      <c r="K23" s="128" t="s">
        <v>711</v>
      </c>
      <c r="L23" s="121" t="s">
        <v>515</v>
      </c>
      <c r="M23" s="123" t="s">
        <v>712</v>
      </c>
      <c r="N23" s="129">
        <v>42614</v>
      </c>
      <c r="O23" s="129">
        <v>43708</v>
      </c>
      <c r="P23" s="129">
        <v>44145</v>
      </c>
      <c r="Q23" s="323">
        <v>255000</v>
      </c>
      <c r="R23" s="319"/>
      <c r="S23" s="324">
        <v>49500</v>
      </c>
      <c r="T23" s="324">
        <v>0</v>
      </c>
      <c r="U23" s="324">
        <v>25500</v>
      </c>
      <c r="V23" s="324"/>
      <c r="W23" s="324">
        <v>10000</v>
      </c>
      <c r="X23" s="324">
        <v>0</v>
      </c>
      <c r="Y23" s="312">
        <v>85000</v>
      </c>
      <c r="Z23" s="325">
        <v>85000</v>
      </c>
      <c r="AA23" s="325">
        <v>0</v>
      </c>
      <c r="AB23" s="326"/>
      <c r="AC23" s="324">
        <v>49500</v>
      </c>
      <c r="AD23" s="324">
        <v>0</v>
      </c>
      <c r="AE23" s="324">
        <v>25500</v>
      </c>
      <c r="AF23" s="324">
        <v>10000</v>
      </c>
      <c r="AG23" s="324">
        <v>0</v>
      </c>
      <c r="AH23" s="324"/>
      <c r="AI23" s="312">
        <v>85000</v>
      </c>
      <c r="AJ23" s="327">
        <v>85000</v>
      </c>
      <c r="AK23" s="327">
        <v>0</v>
      </c>
      <c r="AL23" s="328"/>
      <c r="AM23" s="279">
        <v>49500</v>
      </c>
      <c r="AN23" s="279">
        <v>0</v>
      </c>
      <c r="AO23" s="279">
        <v>25500</v>
      </c>
      <c r="AP23" s="279"/>
      <c r="AQ23" s="279">
        <v>10000</v>
      </c>
      <c r="AR23" s="279">
        <v>0</v>
      </c>
      <c r="AS23" s="293">
        <v>85000</v>
      </c>
      <c r="AT23" s="327">
        <v>85000</v>
      </c>
      <c r="AU23" s="327">
        <v>0</v>
      </c>
      <c r="AV23" s="328"/>
      <c r="AW23" s="279"/>
      <c r="AX23" s="279"/>
      <c r="AY23" s="279"/>
      <c r="AZ23" s="279"/>
      <c r="BA23" s="279"/>
      <c r="BB23" s="279"/>
      <c r="BC23" s="293"/>
      <c r="BD23" s="319"/>
      <c r="BE23" s="293"/>
      <c r="BF23" s="319"/>
      <c r="BG23" s="293"/>
      <c r="BH23" s="293"/>
      <c r="BI23" s="337">
        <v>255000</v>
      </c>
      <c r="BJ23" s="338">
        <v>0</v>
      </c>
      <c r="BK23" s="126"/>
    </row>
    <row r="24" spans="1:63" ht="15.75">
      <c r="A24" s="314">
        <v>501341</v>
      </c>
      <c r="B24" s="125" t="s">
        <v>707</v>
      </c>
      <c r="C24" s="124" t="s">
        <v>120</v>
      </c>
      <c r="D24" s="126">
        <v>201921</v>
      </c>
      <c r="E24" s="124" t="s">
        <v>708</v>
      </c>
      <c r="F24" s="124" t="s">
        <v>709</v>
      </c>
      <c r="G24" s="127" t="s">
        <v>46</v>
      </c>
      <c r="H24" s="126" t="s">
        <v>628</v>
      </c>
      <c r="I24" s="126" t="s">
        <v>609</v>
      </c>
      <c r="J24" s="126" t="s">
        <v>710</v>
      </c>
      <c r="K24" s="128" t="s">
        <v>711</v>
      </c>
      <c r="L24" s="121" t="s">
        <v>515</v>
      </c>
      <c r="M24" s="123" t="s">
        <v>713</v>
      </c>
      <c r="N24" s="129">
        <v>42614</v>
      </c>
      <c r="O24" s="129">
        <v>43708</v>
      </c>
      <c r="P24" s="129">
        <v>44145</v>
      </c>
      <c r="Q24" s="323">
        <v>327923</v>
      </c>
      <c r="R24" s="319"/>
      <c r="S24" s="324">
        <v>50000</v>
      </c>
      <c r="T24" s="324">
        <v>0</v>
      </c>
      <c r="U24" s="324">
        <v>49511</v>
      </c>
      <c r="V24" s="324"/>
      <c r="W24" s="324">
        <v>13946</v>
      </c>
      <c r="X24" s="324">
        <v>0</v>
      </c>
      <c r="Y24" s="312">
        <v>113457</v>
      </c>
      <c r="Z24" s="325">
        <v>113457</v>
      </c>
      <c r="AA24" s="325">
        <v>0</v>
      </c>
      <c r="AB24" s="326"/>
      <c r="AC24" s="324">
        <v>97494.36</v>
      </c>
      <c r="AD24" s="324">
        <v>0</v>
      </c>
      <c r="AE24" s="324">
        <v>6582</v>
      </c>
      <c r="AF24" s="324"/>
      <c r="AG24" s="324">
        <v>9380.64</v>
      </c>
      <c r="AH24" s="324"/>
      <c r="AI24" s="312">
        <v>113457</v>
      </c>
      <c r="AJ24" s="327">
        <v>113457</v>
      </c>
      <c r="AK24" s="327">
        <v>0</v>
      </c>
      <c r="AL24" s="328"/>
      <c r="AM24" s="279">
        <v>61000</v>
      </c>
      <c r="AN24" s="279">
        <v>0</v>
      </c>
      <c r="AO24" s="279">
        <v>35063</v>
      </c>
      <c r="AP24" s="279"/>
      <c r="AQ24" s="279">
        <v>4946</v>
      </c>
      <c r="AR24" s="279">
        <v>0</v>
      </c>
      <c r="AS24" s="293">
        <v>101009</v>
      </c>
      <c r="AT24" s="327">
        <v>101009</v>
      </c>
      <c r="AU24" s="327">
        <v>0</v>
      </c>
      <c r="AV24" s="328"/>
      <c r="AW24" s="279"/>
      <c r="AX24" s="279"/>
      <c r="AY24" s="279"/>
      <c r="AZ24" s="279"/>
      <c r="BA24" s="279"/>
      <c r="BB24" s="279"/>
      <c r="BC24" s="293"/>
      <c r="BD24" s="319"/>
      <c r="BE24" s="293"/>
      <c r="BF24" s="319"/>
      <c r="BG24" s="293"/>
      <c r="BH24" s="293"/>
      <c r="BI24" s="337">
        <v>327923</v>
      </c>
      <c r="BJ24" s="338">
        <v>0</v>
      </c>
      <c r="BK24" s="126"/>
    </row>
    <row r="25" spans="1:63" ht="15.75">
      <c r="A25" s="314">
        <v>501345</v>
      </c>
      <c r="B25" s="125" t="s">
        <v>707</v>
      </c>
      <c r="C25" s="124" t="s">
        <v>120</v>
      </c>
      <c r="D25" s="126">
        <v>201921</v>
      </c>
      <c r="E25" s="124" t="s">
        <v>708</v>
      </c>
      <c r="F25" s="124" t="s">
        <v>709</v>
      </c>
      <c r="G25" s="127" t="s">
        <v>46</v>
      </c>
      <c r="H25" s="126" t="s">
        <v>597</v>
      </c>
      <c r="I25" s="126" t="s">
        <v>609</v>
      </c>
      <c r="J25" s="126" t="s">
        <v>710</v>
      </c>
      <c r="K25" s="128" t="s">
        <v>711</v>
      </c>
      <c r="L25" s="121" t="s">
        <v>515</v>
      </c>
      <c r="M25" s="123" t="s">
        <v>714</v>
      </c>
      <c r="N25" s="129">
        <v>42614</v>
      </c>
      <c r="O25" s="129">
        <v>43890</v>
      </c>
      <c r="P25" s="129">
        <v>44145</v>
      </c>
      <c r="Q25" s="323">
        <v>466364</v>
      </c>
      <c r="R25" s="319"/>
      <c r="S25" s="324">
        <v>91000</v>
      </c>
      <c r="T25" s="324">
        <v>0</v>
      </c>
      <c r="U25" s="324">
        <v>29500</v>
      </c>
      <c r="V25" s="324"/>
      <c r="W25" s="324">
        <v>16293</v>
      </c>
      <c r="X25" s="324">
        <v>15000</v>
      </c>
      <c r="Y25" s="312">
        <v>151793</v>
      </c>
      <c r="Z25" s="325">
        <v>151793</v>
      </c>
      <c r="AA25" s="325">
        <v>0</v>
      </c>
      <c r="AB25" s="326"/>
      <c r="AC25" s="324">
        <v>97000</v>
      </c>
      <c r="AD25" s="324">
        <v>0</v>
      </c>
      <c r="AE25" s="324">
        <v>27000</v>
      </c>
      <c r="AF25" s="324">
        <v>9709</v>
      </c>
      <c r="AG25" s="324">
        <v>0</v>
      </c>
      <c r="AH25" s="324"/>
      <c r="AI25" s="312">
        <v>133709</v>
      </c>
      <c r="AJ25" s="327">
        <v>133709</v>
      </c>
      <c r="AK25" s="327">
        <v>0</v>
      </c>
      <c r="AL25" s="328"/>
      <c r="AM25" s="279">
        <v>100443</v>
      </c>
      <c r="AN25" s="279">
        <v>0</v>
      </c>
      <c r="AO25" s="279">
        <v>50175</v>
      </c>
      <c r="AP25" s="279"/>
      <c r="AQ25" s="279">
        <v>30244</v>
      </c>
      <c r="AR25" s="279">
        <v>0</v>
      </c>
      <c r="AS25" s="293">
        <v>180862</v>
      </c>
      <c r="AT25" s="327">
        <v>180862</v>
      </c>
      <c r="AU25" s="327">
        <v>0</v>
      </c>
      <c r="AV25" s="328"/>
      <c r="AW25" s="279"/>
      <c r="AX25" s="279"/>
      <c r="AY25" s="279"/>
      <c r="AZ25" s="279"/>
      <c r="BA25" s="279"/>
      <c r="BB25" s="279"/>
      <c r="BC25" s="293"/>
      <c r="BD25" s="319"/>
      <c r="BE25" s="293"/>
      <c r="BF25" s="319"/>
      <c r="BG25" s="293"/>
      <c r="BH25" s="293"/>
      <c r="BI25" s="337">
        <v>466364</v>
      </c>
      <c r="BJ25" s="338">
        <v>0</v>
      </c>
      <c r="BK25" s="126" t="s">
        <v>715</v>
      </c>
    </row>
    <row r="26" spans="1:63" ht="15.75">
      <c r="A26" s="314">
        <v>507643</v>
      </c>
      <c r="B26" s="125" t="s">
        <v>707</v>
      </c>
      <c r="C26" s="124" t="s">
        <v>120</v>
      </c>
      <c r="D26" s="126">
        <v>201921</v>
      </c>
      <c r="E26" s="124" t="s">
        <v>708</v>
      </c>
      <c r="F26" s="124" t="s">
        <v>709</v>
      </c>
      <c r="G26" s="127" t="s">
        <v>46</v>
      </c>
      <c r="H26" s="126" t="s">
        <v>597</v>
      </c>
      <c r="I26" s="126" t="s">
        <v>609</v>
      </c>
      <c r="J26" s="126" t="s">
        <v>710</v>
      </c>
      <c r="K26" s="128" t="s">
        <v>711</v>
      </c>
      <c r="L26" s="121" t="s">
        <v>519</v>
      </c>
      <c r="M26" s="123" t="s">
        <v>716</v>
      </c>
      <c r="N26" s="129">
        <v>43709</v>
      </c>
      <c r="O26" s="129">
        <v>44592</v>
      </c>
      <c r="P26" s="129">
        <v>44592</v>
      </c>
      <c r="Q26" s="323">
        <v>173333</v>
      </c>
      <c r="R26" s="319"/>
      <c r="S26" s="324">
        <v>45000</v>
      </c>
      <c r="T26" s="324"/>
      <c r="U26" s="324">
        <v>35000</v>
      </c>
      <c r="V26" s="324"/>
      <c r="W26" s="324"/>
      <c r="X26" s="324"/>
      <c r="Y26" s="312">
        <v>80000</v>
      </c>
      <c r="Z26" s="325">
        <v>80000</v>
      </c>
      <c r="AA26" s="325">
        <v>0</v>
      </c>
      <c r="AB26" s="326"/>
      <c r="AC26" s="324">
        <v>45000</v>
      </c>
      <c r="AD26" s="324"/>
      <c r="AE26" s="324">
        <v>35000</v>
      </c>
      <c r="AF26" s="324"/>
      <c r="AG26" s="324"/>
      <c r="AH26" s="324"/>
      <c r="AI26" s="312">
        <v>80000</v>
      </c>
      <c r="AJ26" s="327">
        <v>80000</v>
      </c>
      <c r="AK26" s="327">
        <v>0</v>
      </c>
      <c r="AL26" s="328"/>
      <c r="AM26" s="324">
        <v>7500</v>
      </c>
      <c r="AN26" s="324"/>
      <c r="AO26" s="324">
        <v>5833</v>
      </c>
      <c r="AP26" s="324"/>
      <c r="AQ26" s="324"/>
      <c r="AR26" s="324"/>
      <c r="AS26" s="293">
        <v>13333</v>
      </c>
      <c r="AT26" s="327">
        <v>13333</v>
      </c>
      <c r="AU26" s="327">
        <v>0</v>
      </c>
      <c r="AV26" s="328"/>
      <c r="AW26" s="279">
        <v>37500</v>
      </c>
      <c r="AX26" s="279"/>
      <c r="AY26" s="279">
        <v>29167</v>
      </c>
      <c r="AZ26" s="279"/>
      <c r="BA26" s="279"/>
      <c r="BB26" s="279"/>
      <c r="BC26" s="293">
        <v>66667</v>
      </c>
      <c r="BD26" s="319"/>
      <c r="BE26" s="293"/>
      <c r="BF26" s="319"/>
      <c r="BG26" s="293"/>
      <c r="BH26" s="293"/>
      <c r="BI26" s="337">
        <v>240000</v>
      </c>
      <c r="BJ26" s="338">
        <v>66667</v>
      </c>
      <c r="BK26" s="126"/>
    </row>
    <row r="27" spans="1:63" ht="15.75">
      <c r="A27" s="314">
        <v>507693</v>
      </c>
      <c r="B27" s="125" t="s">
        <v>707</v>
      </c>
      <c r="C27" s="124" t="s">
        <v>120</v>
      </c>
      <c r="D27" s="126">
        <v>201921</v>
      </c>
      <c r="E27" s="124" t="s">
        <v>708</v>
      </c>
      <c r="F27" s="124" t="s">
        <v>709</v>
      </c>
      <c r="G27" s="127" t="s">
        <v>46</v>
      </c>
      <c r="H27" s="126" t="s">
        <v>628</v>
      </c>
      <c r="I27" s="126" t="s">
        <v>609</v>
      </c>
      <c r="J27" s="126" t="s">
        <v>710</v>
      </c>
      <c r="K27" s="128" t="s">
        <v>711</v>
      </c>
      <c r="L27" s="121" t="s">
        <v>519</v>
      </c>
      <c r="M27" s="123" t="s">
        <v>717</v>
      </c>
      <c r="N27" s="129">
        <v>43709</v>
      </c>
      <c r="O27" s="129">
        <v>44895</v>
      </c>
      <c r="P27" s="129">
        <v>44895</v>
      </c>
      <c r="Q27" s="323">
        <v>200700</v>
      </c>
      <c r="R27" s="319"/>
      <c r="S27" s="324">
        <v>50000</v>
      </c>
      <c r="T27" s="324"/>
      <c r="U27" s="324">
        <v>16900</v>
      </c>
      <c r="V27" s="324"/>
      <c r="W27" s="324"/>
      <c r="X27" s="324"/>
      <c r="Y27" s="312">
        <v>66900</v>
      </c>
      <c r="Z27" s="325">
        <v>66900</v>
      </c>
      <c r="AA27" s="325">
        <v>0</v>
      </c>
      <c r="AB27" s="326"/>
      <c r="AC27" s="324">
        <v>50000</v>
      </c>
      <c r="AD27" s="324"/>
      <c r="AE27" s="324">
        <v>16900</v>
      </c>
      <c r="AF27" s="324"/>
      <c r="AG27" s="324"/>
      <c r="AH27" s="324"/>
      <c r="AI27" s="312">
        <v>66900</v>
      </c>
      <c r="AJ27" s="327">
        <v>66900</v>
      </c>
      <c r="AK27" s="327">
        <v>0</v>
      </c>
      <c r="AL27" s="328"/>
      <c r="AM27" s="324">
        <v>50000</v>
      </c>
      <c r="AN27" s="324"/>
      <c r="AO27" s="324">
        <v>16900</v>
      </c>
      <c r="AP27" s="324"/>
      <c r="AQ27" s="324"/>
      <c r="AR27" s="279"/>
      <c r="AS27" s="293">
        <v>66900</v>
      </c>
      <c r="AT27" s="327">
        <v>66900</v>
      </c>
      <c r="AU27" s="327">
        <v>0</v>
      </c>
      <c r="AV27" s="328"/>
      <c r="AW27" s="279"/>
      <c r="AX27" s="279"/>
      <c r="AY27" s="279"/>
      <c r="AZ27" s="279"/>
      <c r="BA27" s="279"/>
      <c r="BB27" s="279"/>
      <c r="BC27" s="293"/>
      <c r="BD27" s="319"/>
      <c r="BE27" s="293"/>
      <c r="BF27" s="319"/>
      <c r="BG27" s="293"/>
      <c r="BH27" s="293"/>
      <c r="BI27" s="337">
        <v>200700</v>
      </c>
      <c r="BJ27" s="338">
        <v>0</v>
      </c>
      <c r="BK27" s="126"/>
    </row>
    <row r="28" spans="1:63" ht="15.75">
      <c r="A28" s="314">
        <v>513373</v>
      </c>
      <c r="B28" s="125" t="s">
        <v>707</v>
      </c>
      <c r="C28" s="124" t="s">
        <v>120</v>
      </c>
      <c r="D28" s="126">
        <v>201921</v>
      </c>
      <c r="E28" s="124" t="s">
        <v>708</v>
      </c>
      <c r="F28" s="124" t="s">
        <v>709</v>
      </c>
      <c r="G28" s="127" t="s">
        <v>46</v>
      </c>
      <c r="H28" s="126" t="s">
        <v>597</v>
      </c>
      <c r="I28" s="126" t="s">
        <v>609</v>
      </c>
      <c r="J28" s="126" t="s">
        <v>710</v>
      </c>
      <c r="K28" s="128" t="s">
        <v>711</v>
      </c>
      <c r="L28" s="121" t="s">
        <v>685</v>
      </c>
      <c r="M28" s="123" t="s">
        <v>718</v>
      </c>
      <c r="N28" s="129">
        <v>44562</v>
      </c>
      <c r="O28" s="129">
        <v>45138</v>
      </c>
      <c r="P28" s="129">
        <v>45138</v>
      </c>
      <c r="Q28" s="323">
        <v>138000</v>
      </c>
      <c r="R28" s="319"/>
      <c r="S28" s="324">
        <v>112000</v>
      </c>
      <c r="T28" s="324"/>
      <c r="U28" s="324">
        <v>20000</v>
      </c>
      <c r="V28" s="324"/>
      <c r="W28" s="324">
        <v>6000</v>
      </c>
      <c r="X28" s="324"/>
      <c r="Y28" s="312">
        <v>138000</v>
      </c>
      <c r="Z28" s="325">
        <v>138000</v>
      </c>
      <c r="AA28" s="325">
        <v>0</v>
      </c>
      <c r="AB28" s="326"/>
      <c r="AC28" s="324">
        <v>56000</v>
      </c>
      <c r="AD28" s="324"/>
      <c r="AE28" s="324"/>
      <c r="AF28" s="324"/>
      <c r="AG28" s="324">
        <v>6000</v>
      </c>
      <c r="AH28" s="324"/>
      <c r="AI28" s="312">
        <v>62000</v>
      </c>
      <c r="AJ28" s="327">
        <v>62000</v>
      </c>
      <c r="AK28" s="327">
        <v>0</v>
      </c>
      <c r="AL28" s="328"/>
      <c r="AM28" s="279"/>
      <c r="AN28" s="279"/>
      <c r="AO28" s="279"/>
      <c r="AP28" s="279"/>
      <c r="AQ28" s="279"/>
      <c r="AR28" s="279"/>
      <c r="AS28" s="293"/>
      <c r="AT28" s="327"/>
      <c r="AU28" s="327"/>
      <c r="AV28" s="328"/>
      <c r="AW28" s="279"/>
      <c r="AX28" s="279"/>
      <c r="AY28" s="279"/>
      <c r="AZ28" s="279"/>
      <c r="BA28" s="279"/>
      <c r="BB28" s="279"/>
      <c r="BC28" s="293"/>
      <c r="BD28" s="319"/>
      <c r="BE28" s="293"/>
      <c r="BF28" s="319"/>
      <c r="BG28" s="293"/>
      <c r="BH28" s="293"/>
      <c r="BI28" s="337">
        <v>200000</v>
      </c>
      <c r="BJ28" s="338">
        <v>62000</v>
      </c>
      <c r="BK28" s="126"/>
    </row>
    <row r="29" spans="1:63" ht="15.75">
      <c r="A29" s="314">
        <v>504334</v>
      </c>
      <c r="B29" s="125" t="s">
        <v>719</v>
      </c>
      <c r="C29" s="124" t="s">
        <v>720</v>
      </c>
      <c r="D29" s="126">
        <v>202019</v>
      </c>
      <c r="E29" s="149" t="s">
        <v>721</v>
      </c>
      <c r="F29" s="149" t="s">
        <v>722</v>
      </c>
      <c r="G29" s="127" t="s">
        <v>46</v>
      </c>
      <c r="H29" s="149" t="s">
        <v>597</v>
      </c>
      <c r="I29" s="126" t="s">
        <v>723</v>
      </c>
      <c r="J29" s="126" t="s">
        <v>724</v>
      </c>
      <c r="K29" s="128" t="s">
        <v>725</v>
      </c>
      <c r="L29" s="121" t="s">
        <v>19</v>
      </c>
      <c r="M29" s="123" t="s">
        <v>726</v>
      </c>
      <c r="N29" s="129">
        <v>43191</v>
      </c>
      <c r="O29" s="129">
        <v>43921</v>
      </c>
      <c r="P29" s="129">
        <v>43585</v>
      </c>
      <c r="Q29" s="330">
        <v>200000</v>
      </c>
      <c r="R29" s="331"/>
      <c r="S29" s="324">
        <v>65000</v>
      </c>
      <c r="T29" s="324">
        <v>5905</v>
      </c>
      <c r="U29" s="324">
        <v>25000</v>
      </c>
      <c r="V29" s="324">
        <v>0</v>
      </c>
      <c r="W29" s="324">
        <v>4095</v>
      </c>
      <c r="X29" s="324">
        <v>0</v>
      </c>
      <c r="Y29" s="312">
        <v>100000</v>
      </c>
      <c r="Z29" s="325">
        <v>100000</v>
      </c>
      <c r="AA29" s="325">
        <v>0</v>
      </c>
      <c r="AB29" s="326"/>
      <c r="AC29" s="324">
        <v>65000</v>
      </c>
      <c r="AD29" s="324">
        <v>0</v>
      </c>
      <c r="AE29" s="324">
        <v>27450</v>
      </c>
      <c r="AF29" s="324">
        <v>0</v>
      </c>
      <c r="AG29" s="324">
        <v>7550</v>
      </c>
      <c r="AH29" s="324"/>
      <c r="AI29" s="312">
        <v>100000</v>
      </c>
      <c r="AJ29" s="327">
        <v>100000</v>
      </c>
      <c r="AK29" s="327">
        <v>0</v>
      </c>
      <c r="AL29" s="339"/>
      <c r="AM29" s="324">
        <v>0</v>
      </c>
      <c r="AN29" s="324">
        <v>0</v>
      </c>
      <c r="AO29" s="324">
        <v>0</v>
      </c>
      <c r="AP29" s="324">
        <v>0</v>
      </c>
      <c r="AQ29" s="324">
        <v>0</v>
      </c>
      <c r="AR29" s="324">
        <v>0</v>
      </c>
      <c r="AS29" s="293">
        <v>0</v>
      </c>
      <c r="AT29" s="327">
        <v>0</v>
      </c>
      <c r="AU29" s="327">
        <v>0</v>
      </c>
      <c r="AV29" s="328"/>
      <c r="AW29" s="279"/>
      <c r="AX29" s="279"/>
      <c r="AY29" s="279"/>
      <c r="AZ29" s="279"/>
      <c r="BA29" s="279"/>
      <c r="BB29" s="279"/>
      <c r="BC29" s="293"/>
      <c r="BD29" s="319"/>
      <c r="BE29" s="293"/>
      <c r="BF29" s="319"/>
      <c r="BG29" s="293"/>
      <c r="BH29" s="293"/>
      <c r="BI29" s="337">
        <v>200000</v>
      </c>
      <c r="BJ29" s="338">
        <v>0</v>
      </c>
      <c r="BK29" s="280"/>
    </row>
    <row r="30" spans="1:63" ht="15.75">
      <c r="A30" s="314">
        <v>502068</v>
      </c>
      <c r="B30" s="125" t="s">
        <v>727</v>
      </c>
      <c r="C30" s="124" t="s">
        <v>245</v>
      </c>
      <c r="D30" s="126">
        <v>202588</v>
      </c>
      <c r="E30" s="121" t="s">
        <v>728</v>
      </c>
      <c r="F30" s="121" t="s">
        <v>729</v>
      </c>
      <c r="G30" s="127" t="s">
        <v>75</v>
      </c>
      <c r="H30" s="123" t="s">
        <v>628</v>
      </c>
      <c r="I30" s="126" t="s">
        <v>598</v>
      </c>
      <c r="J30" s="126" t="s">
        <v>730</v>
      </c>
      <c r="K30" s="128" t="s">
        <v>731</v>
      </c>
      <c r="L30" s="123" t="s">
        <v>732</v>
      </c>
      <c r="M30" s="123" t="s">
        <v>733</v>
      </c>
      <c r="N30" s="129">
        <v>42736</v>
      </c>
      <c r="O30" s="129">
        <v>43190</v>
      </c>
      <c r="P30" s="129">
        <v>43190</v>
      </c>
      <c r="Q30" s="330">
        <v>77016</v>
      </c>
      <c r="R30" s="331"/>
      <c r="S30" s="324">
        <v>28000</v>
      </c>
      <c r="T30" s="324">
        <v>0</v>
      </c>
      <c r="U30" s="324">
        <v>0</v>
      </c>
      <c r="V30" s="324"/>
      <c r="W30" s="324"/>
      <c r="X30" s="324">
        <v>49016</v>
      </c>
      <c r="Y30" s="312">
        <v>77016</v>
      </c>
      <c r="Z30" s="325">
        <v>77016</v>
      </c>
      <c r="AA30" s="325">
        <v>0</v>
      </c>
      <c r="AB30" s="326"/>
      <c r="AC30" s="324" t="s">
        <v>602</v>
      </c>
      <c r="AD30" s="324" t="s">
        <v>602</v>
      </c>
      <c r="AE30" s="324" t="s">
        <v>602</v>
      </c>
      <c r="AF30" s="324" t="s">
        <v>602</v>
      </c>
      <c r="AG30" s="324" t="s">
        <v>602</v>
      </c>
      <c r="AH30" s="324"/>
      <c r="AI30" s="312">
        <v>0</v>
      </c>
      <c r="AJ30" s="327">
        <v>0</v>
      </c>
      <c r="AK30" s="327">
        <v>0</v>
      </c>
      <c r="AL30" s="328"/>
      <c r="AM30" s="324" t="s">
        <v>602</v>
      </c>
      <c r="AN30" s="324" t="s">
        <v>602</v>
      </c>
      <c r="AO30" s="324" t="s">
        <v>602</v>
      </c>
      <c r="AP30" s="324" t="s">
        <v>602</v>
      </c>
      <c r="AQ30" s="324" t="s">
        <v>602</v>
      </c>
      <c r="AR30" s="279" t="s">
        <v>602</v>
      </c>
      <c r="AS30" s="293">
        <v>0</v>
      </c>
      <c r="AT30" s="327">
        <v>0</v>
      </c>
      <c r="AU30" s="327">
        <v>0</v>
      </c>
      <c r="AV30" s="328"/>
      <c r="AW30" s="324" t="s">
        <v>602</v>
      </c>
      <c r="AX30" s="324" t="s">
        <v>602</v>
      </c>
      <c r="AY30" s="324" t="s">
        <v>602</v>
      </c>
      <c r="AZ30" s="324" t="s">
        <v>602</v>
      </c>
      <c r="BA30" s="324"/>
      <c r="BB30" s="324" t="s">
        <v>602</v>
      </c>
      <c r="BC30" s="293">
        <v>0</v>
      </c>
      <c r="BD30" s="319"/>
      <c r="BE30" s="293"/>
      <c r="BF30" s="319"/>
      <c r="BG30" s="293"/>
      <c r="BH30" s="293"/>
      <c r="BI30" s="337">
        <v>77016</v>
      </c>
      <c r="BJ30" s="338">
        <v>0</v>
      </c>
      <c r="BK30" s="124" t="s">
        <v>734</v>
      </c>
    </row>
    <row r="31" spans="1:63" ht="15.75">
      <c r="A31" s="314">
        <v>507637</v>
      </c>
      <c r="B31" s="125" t="s">
        <v>727</v>
      </c>
      <c r="C31" s="124" t="s">
        <v>245</v>
      </c>
      <c r="D31" s="126">
        <v>202588</v>
      </c>
      <c r="E31" s="124" t="s">
        <v>728</v>
      </c>
      <c r="F31" s="124" t="s">
        <v>729</v>
      </c>
      <c r="G31" s="127" t="s">
        <v>75</v>
      </c>
      <c r="H31" s="123" t="s">
        <v>628</v>
      </c>
      <c r="I31" s="126" t="s">
        <v>598</v>
      </c>
      <c r="J31" s="126" t="s">
        <v>730</v>
      </c>
      <c r="K31" s="128" t="s">
        <v>735</v>
      </c>
      <c r="L31" s="121" t="s">
        <v>519</v>
      </c>
      <c r="M31" s="123" t="s">
        <v>736</v>
      </c>
      <c r="N31" s="129">
        <v>43709</v>
      </c>
      <c r="O31" s="129">
        <v>44895</v>
      </c>
      <c r="P31" s="129">
        <v>44895</v>
      </c>
      <c r="Q31" s="323">
        <v>153000</v>
      </c>
      <c r="R31" s="319"/>
      <c r="S31" s="324"/>
      <c r="T31" s="324"/>
      <c r="U31" s="324"/>
      <c r="V31" s="324"/>
      <c r="W31" s="324"/>
      <c r="X31" s="324"/>
      <c r="Y31" s="312"/>
      <c r="Z31" s="325"/>
      <c r="AA31" s="325"/>
      <c r="AB31" s="326"/>
      <c r="AC31" s="324"/>
      <c r="AD31" s="324"/>
      <c r="AE31" s="324"/>
      <c r="AF31" s="324"/>
      <c r="AG31" s="324"/>
      <c r="AH31" s="324"/>
      <c r="AI31" s="312"/>
      <c r="AJ31" s="327"/>
      <c r="AK31" s="327"/>
      <c r="AL31" s="328"/>
      <c r="AM31" s="324">
        <v>50264</v>
      </c>
      <c r="AN31" s="324"/>
      <c r="AO31" s="324">
        <v>102736</v>
      </c>
      <c r="AP31" s="279"/>
      <c r="AQ31" s="279"/>
      <c r="AR31" s="279"/>
      <c r="AS31" s="293">
        <v>153000</v>
      </c>
      <c r="AT31" s="327"/>
      <c r="AU31" s="327"/>
      <c r="AV31" s="328"/>
      <c r="AW31" s="279"/>
      <c r="AX31" s="279"/>
      <c r="AY31" s="279"/>
      <c r="AZ31" s="279"/>
      <c r="BA31" s="279"/>
      <c r="BB31" s="279"/>
      <c r="BC31" s="293"/>
      <c r="BD31" s="319"/>
      <c r="BE31" s="293"/>
      <c r="BF31" s="319"/>
      <c r="BG31" s="293"/>
      <c r="BH31" s="293"/>
      <c r="BI31" s="337">
        <v>153000</v>
      </c>
      <c r="BJ31" s="338">
        <v>0</v>
      </c>
      <c r="BK31" s="126"/>
    </row>
    <row r="32" spans="1:63" ht="15.75">
      <c r="A32" s="314">
        <v>499891</v>
      </c>
      <c r="B32" s="125" t="s">
        <v>737</v>
      </c>
      <c r="C32" s="124" t="s">
        <v>124</v>
      </c>
      <c r="D32" s="126">
        <v>202616</v>
      </c>
      <c r="E32" s="124" t="s">
        <v>738</v>
      </c>
      <c r="F32" s="124" t="s">
        <v>608</v>
      </c>
      <c r="G32" s="127" t="s">
        <v>46</v>
      </c>
      <c r="H32" s="126" t="s">
        <v>597</v>
      </c>
      <c r="I32" s="126" t="s">
        <v>609</v>
      </c>
      <c r="J32" s="126" t="s">
        <v>610</v>
      </c>
      <c r="K32" s="128" t="s">
        <v>611</v>
      </c>
      <c r="L32" s="121" t="s">
        <v>637</v>
      </c>
      <c r="M32" s="123" t="s">
        <v>638</v>
      </c>
      <c r="N32" s="129">
        <v>42248</v>
      </c>
      <c r="O32" s="129">
        <v>42643</v>
      </c>
      <c r="P32" s="129">
        <v>42671</v>
      </c>
      <c r="Q32" s="323">
        <v>176667</v>
      </c>
      <c r="R32" s="324">
        <v>154833.13</v>
      </c>
      <c r="S32" s="324"/>
      <c r="T32" s="324">
        <v>0</v>
      </c>
      <c r="U32" s="324">
        <v>0</v>
      </c>
      <c r="V32" s="324"/>
      <c r="W32" s="324">
        <v>0</v>
      </c>
      <c r="X32" s="324">
        <v>21833.87</v>
      </c>
      <c r="Y32" s="312">
        <v>176667</v>
      </c>
      <c r="Z32" s="325">
        <v>176667</v>
      </c>
      <c r="AA32" s="325">
        <v>0</v>
      </c>
      <c r="AB32" s="326"/>
      <c r="AC32" s="324" t="s">
        <v>602</v>
      </c>
      <c r="AD32" s="324" t="s">
        <v>602</v>
      </c>
      <c r="AE32" s="324" t="s">
        <v>602</v>
      </c>
      <c r="AF32" s="324" t="s">
        <v>602</v>
      </c>
      <c r="AG32" s="324" t="s">
        <v>602</v>
      </c>
      <c r="AH32" s="324"/>
      <c r="AI32" s="312">
        <v>0</v>
      </c>
      <c r="AJ32" s="327">
        <v>0</v>
      </c>
      <c r="AK32" s="327">
        <v>0</v>
      </c>
      <c r="AL32" s="328"/>
      <c r="AM32" s="324" t="s">
        <v>602</v>
      </c>
      <c r="AN32" s="324" t="s">
        <v>602</v>
      </c>
      <c r="AO32" s="324" t="s">
        <v>602</v>
      </c>
      <c r="AP32" s="324" t="s">
        <v>602</v>
      </c>
      <c r="AQ32" s="324" t="s">
        <v>602</v>
      </c>
      <c r="AR32" s="279" t="s">
        <v>602</v>
      </c>
      <c r="AS32" s="293">
        <v>0</v>
      </c>
      <c r="AT32" s="327">
        <v>0</v>
      </c>
      <c r="AU32" s="327">
        <v>0</v>
      </c>
      <c r="AV32" s="328"/>
      <c r="AW32" s="324" t="s">
        <v>602</v>
      </c>
      <c r="AX32" s="324" t="s">
        <v>602</v>
      </c>
      <c r="AY32" s="324" t="s">
        <v>602</v>
      </c>
      <c r="AZ32" s="324" t="s">
        <v>602</v>
      </c>
      <c r="BA32" s="324"/>
      <c r="BB32" s="324" t="s">
        <v>602</v>
      </c>
      <c r="BC32" s="293"/>
      <c r="BD32" s="319"/>
      <c r="BE32" s="293"/>
      <c r="BF32" s="319"/>
      <c r="BG32" s="293"/>
      <c r="BH32" s="293"/>
      <c r="BI32" s="337">
        <v>176667</v>
      </c>
      <c r="BJ32" s="338">
        <v>0</v>
      </c>
      <c r="BK32" s="126" t="s">
        <v>739</v>
      </c>
    </row>
    <row r="33" spans="1:63" ht="15.75">
      <c r="A33" s="314">
        <v>501344</v>
      </c>
      <c r="B33" s="125" t="s">
        <v>737</v>
      </c>
      <c r="C33" s="124" t="s">
        <v>124</v>
      </c>
      <c r="D33" s="126">
        <v>202616</v>
      </c>
      <c r="E33" s="124" t="s">
        <v>738</v>
      </c>
      <c r="F33" s="124" t="s">
        <v>608</v>
      </c>
      <c r="G33" s="127" t="s">
        <v>46</v>
      </c>
      <c r="H33" s="126" t="s">
        <v>597</v>
      </c>
      <c r="I33" s="126" t="s">
        <v>609</v>
      </c>
      <c r="J33" s="126" t="s">
        <v>610</v>
      </c>
      <c r="K33" s="128" t="s">
        <v>611</v>
      </c>
      <c r="L33" s="121" t="s">
        <v>515</v>
      </c>
      <c r="M33" s="123" t="s">
        <v>667</v>
      </c>
      <c r="N33" s="129">
        <v>42614</v>
      </c>
      <c r="O33" s="129">
        <v>43708</v>
      </c>
      <c r="P33" s="129">
        <v>43343</v>
      </c>
      <c r="Q33" s="323">
        <v>648000</v>
      </c>
      <c r="R33" s="319"/>
      <c r="S33" s="324">
        <v>79235</v>
      </c>
      <c r="T33" s="324">
        <v>0</v>
      </c>
      <c r="U33" s="324">
        <v>31534</v>
      </c>
      <c r="V33" s="324"/>
      <c r="W33" s="324">
        <v>17231</v>
      </c>
      <c r="X33" s="324">
        <v>0</v>
      </c>
      <c r="Y33" s="312">
        <v>128000</v>
      </c>
      <c r="Z33" s="325">
        <v>128000</v>
      </c>
      <c r="AA33" s="325">
        <v>0</v>
      </c>
      <c r="AB33" s="326"/>
      <c r="AC33" s="324">
        <v>160947</v>
      </c>
      <c r="AD33" s="324">
        <v>0</v>
      </c>
      <c r="AE33" s="324">
        <v>64053</v>
      </c>
      <c r="AF33" s="324">
        <v>35000</v>
      </c>
      <c r="AG33" s="324">
        <v>0</v>
      </c>
      <c r="AH33" s="324"/>
      <c r="AI33" s="312">
        <v>260000</v>
      </c>
      <c r="AJ33" s="327">
        <v>260000</v>
      </c>
      <c r="AK33" s="327">
        <v>0</v>
      </c>
      <c r="AL33" s="328"/>
      <c r="AM33" s="279">
        <v>160947</v>
      </c>
      <c r="AN33" s="279">
        <v>0</v>
      </c>
      <c r="AO33" s="279">
        <v>64053</v>
      </c>
      <c r="AP33" s="279"/>
      <c r="AQ33" s="279">
        <v>35000</v>
      </c>
      <c r="AR33" s="279">
        <v>0</v>
      </c>
      <c r="AS33" s="293">
        <v>260000</v>
      </c>
      <c r="AT33" s="327">
        <v>260000</v>
      </c>
      <c r="AU33" s="327">
        <v>0</v>
      </c>
      <c r="AV33" s="328"/>
      <c r="AW33" s="279"/>
      <c r="AX33" s="279"/>
      <c r="AY33" s="279"/>
      <c r="AZ33" s="279"/>
      <c r="BA33" s="279"/>
      <c r="BB33" s="279"/>
      <c r="BC33" s="293"/>
      <c r="BD33" s="319"/>
      <c r="BE33" s="293"/>
      <c r="BF33" s="319"/>
      <c r="BG33" s="293"/>
      <c r="BH33" s="293"/>
      <c r="BI33" s="337">
        <v>648000</v>
      </c>
      <c r="BJ33" s="338">
        <v>0</v>
      </c>
      <c r="BK33" s="126"/>
    </row>
    <row r="34" spans="1:63" ht="15.75">
      <c r="A34" s="380">
        <v>507782</v>
      </c>
      <c r="B34" s="123" t="s">
        <v>737</v>
      </c>
      <c r="C34" s="123" t="s">
        <v>124</v>
      </c>
      <c r="D34" s="126">
        <v>202616</v>
      </c>
      <c r="E34" s="123" t="s">
        <v>738</v>
      </c>
      <c r="F34" s="123" t="s">
        <v>608</v>
      </c>
      <c r="G34" s="127" t="s">
        <v>46</v>
      </c>
      <c r="H34" s="126" t="s">
        <v>597</v>
      </c>
      <c r="I34" s="126" t="s">
        <v>609</v>
      </c>
      <c r="J34" s="126" t="s">
        <v>610</v>
      </c>
      <c r="K34" s="128" t="s">
        <v>611</v>
      </c>
      <c r="L34" s="121" t="s">
        <v>520</v>
      </c>
      <c r="M34" s="123" t="s">
        <v>616</v>
      </c>
      <c r="N34" s="129">
        <v>43709</v>
      </c>
      <c r="O34" s="129">
        <v>45170</v>
      </c>
      <c r="P34" s="129">
        <v>45170</v>
      </c>
      <c r="Q34" s="323">
        <v>900000</v>
      </c>
      <c r="R34" s="319"/>
      <c r="S34" s="324">
        <v>200000</v>
      </c>
      <c r="T34" s="324"/>
      <c r="U34" s="324">
        <v>100000</v>
      </c>
      <c r="V34" s="324"/>
      <c r="W34" s="324"/>
      <c r="X34" s="324"/>
      <c r="Y34" s="312">
        <v>300000</v>
      </c>
      <c r="Z34" s="325">
        <v>300000</v>
      </c>
      <c r="AA34" s="325">
        <v>0</v>
      </c>
      <c r="AB34" s="326"/>
      <c r="AC34" s="324">
        <v>200000</v>
      </c>
      <c r="AD34" s="324"/>
      <c r="AE34" s="324">
        <v>100000</v>
      </c>
      <c r="AF34" s="324"/>
      <c r="AG34" s="324"/>
      <c r="AH34" s="324"/>
      <c r="AI34" s="312">
        <v>300000</v>
      </c>
      <c r="AJ34" s="327">
        <v>300000</v>
      </c>
      <c r="AK34" s="327">
        <v>0</v>
      </c>
      <c r="AL34" s="328"/>
      <c r="AM34" s="279">
        <v>200000</v>
      </c>
      <c r="AN34" s="279"/>
      <c r="AO34" s="279">
        <v>100000</v>
      </c>
      <c r="AP34" s="279"/>
      <c r="AQ34" s="279"/>
      <c r="AR34" s="279"/>
      <c r="AS34" s="293">
        <v>300000</v>
      </c>
      <c r="AT34" s="327">
        <v>300000</v>
      </c>
      <c r="AU34" s="327">
        <v>0</v>
      </c>
      <c r="AV34" s="328"/>
      <c r="AW34" s="279"/>
      <c r="AX34" s="279"/>
      <c r="AY34" s="279"/>
      <c r="AZ34" s="279"/>
      <c r="BA34" s="279"/>
      <c r="BB34" s="279"/>
      <c r="BC34" s="293"/>
      <c r="BD34" s="319"/>
      <c r="BE34" s="293"/>
      <c r="BF34" s="319"/>
      <c r="BG34" s="293"/>
      <c r="BH34" s="293"/>
      <c r="BI34" s="337">
        <v>900000</v>
      </c>
      <c r="BJ34" s="338">
        <v>0</v>
      </c>
      <c r="BK34" s="126"/>
    </row>
    <row r="35" spans="1:63" ht="15.75">
      <c r="A35" s="314">
        <v>499898</v>
      </c>
      <c r="B35" s="125" t="s">
        <v>740</v>
      </c>
      <c r="C35" s="124" t="s">
        <v>741</v>
      </c>
      <c r="D35" s="126">
        <v>203143</v>
      </c>
      <c r="E35" s="148" t="s">
        <v>742</v>
      </c>
      <c r="F35" s="148" t="s">
        <v>743</v>
      </c>
      <c r="G35" s="127" t="s">
        <v>46</v>
      </c>
      <c r="H35" s="149" t="s">
        <v>597</v>
      </c>
      <c r="I35" s="126" t="s">
        <v>609</v>
      </c>
      <c r="J35" s="126" t="s">
        <v>610</v>
      </c>
      <c r="K35" s="128" t="s">
        <v>611</v>
      </c>
      <c r="L35" s="121" t="s">
        <v>637</v>
      </c>
      <c r="M35" s="123" t="s">
        <v>638</v>
      </c>
      <c r="N35" s="129">
        <v>42248</v>
      </c>
      <c r="O35" s="129">
        <v>42643</v>
      </c>
      <c r="P35" s="129">
        <v>42668</v>
      </c>
      <c r="Q35" s="330">
        <v>54167</v>
      </c>
      <c r="R35" s="324">
        <v>25000</v>
      </c>
      <c r="S35" s="324"/>
      <c r="T35" s="324">
        <v>0</v>
      </c>
      <c r="U35" s="324">
        <v>0</v>
      </c>
      <c r="V35" s="324"/>
      <c r="W35" s="324">
        <v>0</v>
      </c>
      <c r="X35" s="324">
        <v>29167</v>
      </c>
      <c r="Y35" s="312">
        <v>54167</v>
      </c>
      <c r="Z35" s="325">
        <v>54167</v>
      </c>
      <c r="AA35" s="325">
        <v>0</v>
      </c>
      <c r="AB35" s="326"/>
      <c r="AC35" s="324" t="s">
        <v>602</v>
      </c>
      <c r="AD35" s="324" t="s">
        <v>602</v>
      </c>
      <c r="AE35" s="324" t="s">
        <v>602</v>
      </c>
      <c r="AF35" s="324" t="s">
        <v>602</v>
      </c>
      <c r="AG35" s="324" t="s">
        <v>602</v>
      </c>
      <c r="AH35" s="324"/>
      <c r="AI35" s="312">
        <v>0</v>
      </c>
      <c r="AJ35" s="327">
        <v>0</v>
      </c>
      <c r="AK35" s="327">
        <v>0</v>
      </c>
      <c r="AL35" s="328"/>
      <c r="AM35" s="324" t="s">
        <v>602</v>
      </c>
      <c r="AN35" s="324" t="s">
        <v>602</v>
      </c>
      <c r="AO35" s="324" t="s">
        <v>602</v>
      </c>
      <c r="AP35" s="324" t="s">
        <v>602</v>
      </c>
      <c r="AQ35" s="324" t="s">
        <v>602</v>
      </c>
      <c r="AR35" s="279" t="s">
        <v>602</v>
      </c>
      <c r="AS35" s="293">
        <v>0</v>
      </c>
      <c r="AT35" s="327">
        <v>0</v>
      </c>
      <c r="AU35" s="327">
        <v>0</v>
      </c>
      <c r="AV35" s="328"/>
      <c r="AW35" s="324" t="s">
        <v>602</v>
      </c>
      <c r="AX35" s="324" t="s">
        <v>602</v>
      </c>
      <c r="AY35" s="324" t="s">
        <v>602</v>
      </c>
      <c r="AZ35" s="324" t="s">
        <v>602</v>
      </c>
      <c r="BA35" s="324"/>
      <c r="BB35" s="324" t="s">
        <v>602</v>
      </c>
      <c r="BC35" s="293"/>
      <c r="BD35" s="319"/>
      <c r="BE35" s="293"/>
      <c r="BF35" s="319"/>
      <c r="BG35" s="293"/>
      <c r="BH35" s="293"/>
      <c r="BI35" s="337">
        <v>54167</v>
      </c>
      <c r="BJ35" s="338">
        <v>0</v>
      </c>
      <c r="BK35" s="280"/>
    </row>
    <row r="36" spans="1:63" ht="15.75">
      <c r="A36" s="314">
        <v>501346</v>
      </c>
      <c r="B36" s="125" t="s">
        <v>740</v>
      </c>
      <c r="C36" s="124" t="s">
        <v>741</v>
      </c>
      <c r="D36" s="126">
        <v>203143</v>
      </c>
      <c r="E36" s="148" t="s">
        <v>742</v>
      </c>
      <c r="F36" s="148" t="s">
        <v>743</v>
      </c>
      <c r="G36" s="127" t="s">
        <v>46</v>
      </c>
      <c r="H36" s="149" t="s">
        <v>628</v>
      </c>
      <c r="I36" s="126" t="s">
        <v>609</v>
      </c>
      <c r="J36" s="126" t="s">
        <v>610</v>
      </c>
      <c r="K36" s="128" t="s">
        <v>611</v>
      </c>
      <c r="L36" s="121" t="s">
        <v>515</v>
      </c>
      <c r="M36" s="123" t="s">
        <v>744</v>
      </c>
      <c r="N36" s="129">
        <v>42614</v>
      </c>
      <c r="O36" s="129">
        <v>43830</v>
      </c>
      <c r="P36" s="129">
        <v>43830</v>
      </c>
      <c r="Q36" s="330">
        <v>90000</v>
      </c>
      <c r="R36" s="331"/>
      <c r="S36" s="324">
        <v>20000</v>
      </c>
      <c r="T36" s="324">
        <v>0</v>
      </c>
      <c r="U36" s="324">
        <v>10000</v>
      </c>
      <c r="V36" s="324"/>
      <c r="W36" s="324">
        <v>0</v>
      </c>
      <c r="X36" s="324">
        <v>0</v>
      </c>
      <c r="Y36" s="312">
        <v>30000</v>
      </c>
      <c r="Z36" s="325">
        <v>30000</v>
      </c>
      <c r="AA36" s="325">
        <v>0</v>
      </c>
      <c r="AB36" s="326"/>
      <c r="AC36" s="324">
        <v>20000</v>
      </c>
      <c r="AD36" s="324">
        <v>0</v>
      </c>
      <c r="AE36" s="324">
        <v>661</v>
      </c>
      <c r="AF36" s="324">
        <v>0</v>
      </c>
      <c r="AG36" s="324">
        <v>0</v>
      </c>
      <c r="AH36" s="324"/>
      <c r="AI36" s="312">
        <v>20661</v>
      </c>
      <c r="AJ36" s="327">
        <v>20661</v>
      </c>
      <c r="AK36" s="327">
        <v>0</v>
      </c>
      <c r="AL36" s="328"/>
      <c r="AM36" s="279">
        <v>20000</v>
      </c>
      <c r="AN36" s="279">
        <v>19339.37</v>
      </c>
      <c r="AO36" s="279">
        <v>0</v>
      </c>
      <c r="AP36" s="279"/>
      <c r="AQ36" s="279">
        <v>0</v>
      </c>
      <c r="AR36" s="279">
        <v>0</v>
      </c>
      <c r="AS36" s="293">
        <v>39339.370000000003</v>
      </c>
      <c r="AT36" s="327">
        <v>39339.369999999995</v>
      </c>
      <c r="AU36" s="327">
        <v>0</v>
      </c>
      <c r="AV36" s="328"/>
      <c r="AW36" s="279"/>
      <c r="AX36" s="279"/>
      <c r="AY36" s="279"/>
      <c r="AZ36" s="279"/>
      <c r="BA36" s="279"/>
      <c r="BB36" s="279"/>
      <c r="BC36" s="293"/>
      <c r="BD36" s="319"/>
      <c r="BE36" s="293"/>
      <c r="BF36" s="319"/>
      <c r="BG36" s="293"/>
      <c r="BH36" s="293"/>
      <c r="BI36" s="337">
        <v>90000.37</v>
      </c>
      <c r="BJ36" s="338">
        <v>0.36999999999534339</v>
      </c>
      <c r="BK36" s="280" t="s">
        <v>745</v>
      </c>
    </row>
    <row r="37" spans="1:63" ht="15.75">
      <c r="A37" s="314">
        <v>501348</v>
      </c>
      <c r="B37" s="125" t="s">
        <v>740</v>
      </c>
      <c r="C37" s="124" t="s">
        <v>741</v>
      </c>
      <c r="D37" s="126">
        <v>203143</v>
      </c>
      <c r="E37" s="148" t="s">
        <v>742</v>
      </c>
      <c r="F37" s="148" t="s">
        <v>743</v>
      </c>
      <c r="G37" s="127" t="s">
        <v>46</v>
      </c>
      <c r="H37" s="149" t="s">
        <v>628</v>
      </c>
      <c r="I37" s="126" t="s">
        <v>609</v>
      </c>
      <c r="J37" s="126" t="s">
        <v>610</v>
      </c>
      <c r="K37" s="128" t="s">
        <v>611</v>
      </c>
      <c r="L37" s="121" t="s">
        <v>515</v>
      </c>
      <c r="M37" s="143" t="s">
        <v>744</v>
      </c>
      <c r="N37" s="129">
        <v>42614</v>
      </c>
      <c r="O37" s="129">
        <v>44286</v>
      </c>
      <c r="P37" s="129">
        <v>44466</v>
      </c>
      <c r="Q37" s="330">
        <v>225000</v>
      </c>
      <c r="R37" s="331"/>
      <c r="S37" s="324">
        <v>50000</v>
      </c>
      <c r="T37" s="324">
        <v>10000</v>
      </c>
      <c r="U37" s="324">
        <v>15000</v>
      </c>
      <c r="V37" s="324"/>
      <c r="W37" s="324">
        <v>0</v>
      </c>
      <c r="X37" s="324">
        <v>0</v>
      </c>
      <c r="Y37" s="312">
        <v>75000</v>
      </c>
      <c r="Z37" s="325">
        <v>75000</v>
      </c>
      <c r="AA37" s="325">
        <v>0</v>
      </c>
      <c r="AB37" s="326"/>
      <c r="AC37" s="324">
        <v>50000</v>
      </c>
      <c r="AD37" s="324">
        <v>5000</v>
      </c>
      <c r="AE37" s="324">
        <v>10223</v>
      </c>
      <c r="AF37" s="324">
        <v>0</v>
      </c>
      <c r="AG37" s="324">
        <v>0</v>
      </c>
      <c r="AH37" s="324"/>
      <c r="AI37" s="312">
        <v>65223</v>
      </c>
      <c r="AJ37" s="327">
        <v>65223</v>
      </c>
      <c r="AK37" s="327">
        <v>0</v>
      </c>
      <c r="AL37" s="328"/>
      <c r="AM37" s="279">
        <v>50000</v>
      </c>
      <c r="AN37" s="279">
        <v>34777.74</v>
      </c>
      <c r="AO37" s="279">
        <v>0</v>
      </c>
      <c r="AP37" s="279"/>
      <c r="AQ37" s="279">
        <v>0</v>
      </c>
      <c r="AR37" s="279">
        <v>0</v>
      </c>
      <c r="AS37" s="293">
        <v>84777</v>
      </c>
      <c r="AT37" s="327">
        <v>84777.739999999991</v>
      </c>
      <c r="AU37" s="327">
        <v>0.73999999999068677</v>
      </c>
      <c r="AV37" s="328"/>
      <c r="AW37" s="279"/>
      <c r="AX37" s="279"/>
      <c r="AY37" s="279"/>
      <c r="AZ37" s="279"/>
      <c r="BA37" s="279"/>
      <c r="BB37" s="279"/>
      <c r="BC37" s="293"/>
      <c r="BD37" s="319"/>
      <c r="BE37" s="293"/>
      <c r="BF37" s="319"/>
      <c r="BG37" s="293"/>
      <c r="BH37" s="293"/>
      <c r="BI37" s="337">
        <v>225000</v>
      </c>
      <c r="BJ37" s="338">
        <v>0</v>
      </c>
      <c r="BK37" s="280" t="s">
        <v>746</v>
      </c>
    </row>
    <row r="38" spans="1:63" ht="15.75">
      <c r="A38" s="314">
        <v>502314</v>
      </c>
      <c r="B38" s="125" t="s">
        <v>740</v>
      </c>
      <c r="C38" s="124" t="s">
        <v>741</v>
      </c>
      <c r="D38" s="126">
        <v>203143</v>
      </c>
      <c r="E38" s="148" t="s">
        <v>742</v>
      </c>
      <c r="F38" s="148" t="s">
        <v>743</v>
      </c>
      <c r="G38" s="127" t="s">
        <v>46</v>
      </c>
      <c r="H38" s="149" t="s">
        <v>747</v>
      </c>
      <c r="I38" s="126" t="s">
        <v>609</v>
      </c>
      <c r="J38" s="126" t="s">
        <v>610</v>
      </c>
      <c r="K38" s="128" t="s">
        <v>611</v>
      </c>
      <c r="L38" s="121" t="s">
        <v>652</v>
      </c>
      <c r="M38" s="123" t="s">
        <v>748</v>
      </c>
      <c r="N38" s="129">
        <v>42826</v>
      </c>
      <c r="O38" s="129">
        <v>43373</v>
      </c>
      <c r="P38" s="129">
        <v>43373</v>
      </c>
      <c r="Q38" s="330">
        <v>20000</v>
      </c>
      <c r="R38" s="331"/>
      <c r="S38" s="324">
        <v>20000</v>
      </c>
      <c r="T38" s="324">
        <v>0</v>
      </c>
      <c r="U38" s="324">
        <v>0</v>
      </c>
      <c r="V38" s="324"/>
      <c r="W38" s="324">
        <v>0</v>
      </c>
      <c r="X38" s="324">
        <v>0</v>
      </c>
      <c r="Y38" s="312">
        <v>20000</v>
      </c>
      <c r="Z38" s="325">
        <v>20000</v>
      </c>
      <c r="AA38" s="325">
        <v>0</v>
      </c>
      <c r="AB38" s="326"/>
      <c r="AC38" s="324" t="s">
        <v>602</v>
      </c>
      <c r="AD38" s="324" t="s">
        <v>602</v>
      </c>
      <c r="AE38" s="324" t="s">
        <v>602</v>
      </c>
      <c r="AF38" s="324" t="s">
        <v>602</v>
      </c>
      <c r="AG38" s="324" t="s">
        <v>602</v>
      </c>
      <c r="AH38" s="324"/>
      <c r="AI38" s="312">
        <v>0</v>
      </c>
      <c r="AJ38" s="327">
        <v>0</v>
      </c>
      <c r="AK38" s="327">
        <v>0</v>
      </c>
      <c r="AL38" s="328"/>
      <c r="AM38" s="324" t="s">
        <v>602</v>
      </c>
      <c r="AN38" s="324" t="s">
        <v>602</v>
      </c>
      <c r="AO38" s="324" t="s">
        <v>602</v>
      </c>
      <c r="AP38" s="324" t="s">
        <v>602</v>
      </c>
      <c r="AQ38" s="324" t="s">
        <v>602</v>
      </c>
      <c r="AR38" s="279" t="s">
        <v>602</v>
      </c>
      <c r="AS38" s="293">
        <v>0</v>
      </c>
      <c r="AT38" s="327">
        <v>0</v>
      </c>
      <c r="AU38" s="327">
        <v>0</v>
      </c>
      <c r="AV38" s="328"/>
      <c r="AW38" s="279"/>
      <c r="AX38" s="279"/>
      <c r="AY38" s="279"/>
      <c r="AZ38" s="279"/>
      <c r="BA38" s="279"/>
      <c r="BB38" s="279"/>
      <c r="BC38" s="293"/>
      <c r="BD38" s="319"/>
      <c r="BE38" s="293"/>
      <c r="BF38" s="319"/>
      <c r="BG38" s="293"/>
      <c r="BH38" s="293"/>
      <c r="BI38" s="337">
        <v>20000</v>
      </c>
      <c r="BJ38" s="338">
        <v>0</v>
      </c>
      <c r="BK38" s="124" t="s">
        <v>749</v>
      </c>
    </row>
    <row r="39" spans="1:63" ht="15.75">
      <c r="A39" s="314">
        <v>502801</v>
      </c>
      <c r="B39" s="125" t="s">
        <v>750</v>
      </c>
      <c r="C39" s="124" t="s">
        <v>270</v>
      </c>
      <c r="D39" s="126">
        <v>203173</v>
      </c>
      <c r="E39" s="124" t="s">
        <v>751</v>
      </c>
      <c r="F39" s="124" t="s">
        <v>752</v>
      </c>
      <c r="G39" s="127" t="s">
        <v>75</v>
      </c>
      <c r="H39" s="126" t="s">
        <v>628</v>
      </c>
      <c r="I39" s="126" t="s">
        <v>598</v>
      </c>
      <c r="J39" s="126" t="s">
        <v>645</v>
      </c>
      <c r="K39" s="128" t="s">
        <v>666</v>
      </c>
      <c r="L39" s="121" t="s">
        <v>19</v>
      </c>
      <c r="M39" s="123" t="s">
        <v>753</v>
      </c>
      <c r="N39" s="129">
        <v>42826</v>
      </c>
      <c r="O39" s="129">
        <v>43555</v>
      </c>
      <c r="P39" s="129">
        <v>43190</v>
      </c>
      <c r="Q39" s="323">
        <v>60120</v>
      </c>
      <c r="R39" s="319"/>
      <c r="S39" s="324">
        <v>21060</v>
      </c>
      <c r="T39" s="324">
        <v>0</v>
      </c>
      <c r="U39" s="324">
        <v>9000</v>
      </c>
      <c r="V39" s="324">
        <v>0</v>
      </c>
      <c r="W39" s="324">
        <v>0</v>
      </c>
      <c r="X39" s="324">
        <v>0</v>
      </c>
      <c r="Y39" s="312">
        <v>30060</v>
      </c>
      <c r="Z39" s="325">
        <v>30060</v>
      </c>
      <c r="AA39" s="325">
        <v>0</v>
      </c>
      <c r="AB39" s="326"/>
      <c r="AC39" s="324">
        <v>21060</v>
      </c>
      <c r="AD39" s="324">
        <v>0</v>
      </c>
      <c r="AE39" s="324">
        <v>9000</v>
      </c>
      <c r="AF39" s="324">
        <v>0</v>
      </c>
      <c r="AG39" s="324">
        <v>0</v>
      </c>
      <c r="AH39" s="324"/>
      <c r="AI39" s="312">
        <v>30060</v>
      </c>
      <c r="AJ39" s="327">
        <v>30060</v>
      </c>
      <c r="AK39" s="327">
        <v>0</v>
      </c>
      <c r="AL39" s="339"/>
      <c r="AM39" s="324">
        <v>0</v>
      </c>
      <c r="AN39" s="324">
        <v>0</v>
      </c>
      <c r="AO39" s="324">
        <v>0</v>
      </c>
      <c r="AP39" s="324">
        <v>0</v>
      </c>
      <c r="AQ39" s="324">
        <v>0</v>
      </c>
      <c r="AR39" s="324">
        <v>0</v>
      </c>
      <c r="AS39" s="293">
        <v>0</v>
      </c>
      <c r="AT39" s="327">
        <v>0</v>
      </c>
      <c r="AU39" s="327">
        <v>0</v>
      </c>
      <c r="AV39" s="328"/>
      <c r="AW39" s="279"/>
      <c r="AX39" s="279"/>
      <c r="AY39" s="279"/>
      <c r="AZ39" s="279"/>
      <c r="BA39" s="279"/>
      <c r="BB39" s="279"/>
      <c r="BC39" s="293"/>
      <c r="BD39" s="319"/>
      <c r="BE39" s="293"/>
      <c r="BF39" s="319"/>
      <c r="BG39" s="293"/>
      <c r="BH39" s="293"/>
      <c r="BI39" s="337">
        <v>60120</v>
      </c>
      <c r="BJ39" s="338">
        <v>0</v>
      </c>
      <c r="BK39" s="126"/>
    </row>
    <row r="40" spans="1:63" ht="15.75">
      <c r="A40" s="314">
        <v>507641</v>
      </c>
      <c r="B40" s="125" t="s">
        <v>750</v>
      </c>
      <c r="C40" s="124" t="s">
        <v>270</v>
      </c>
      <c r="D40" s="126">
        <v>203173</v>
      </c>
      <c r="E40" s="124" t="s">
        <v>751</v>
      </c>
      <c r="F40" s="124" t="s">
        <v>752</v>
      </c>
      <c r="G40" s="127" t="s">
        <v>75</v>
      </c>
      <c r="H40" s="126" t="s">
        <v>628</v>
      </c>
      <c r="I40" s="126" t="s">
        <v>598</v>
      </c>
      <c r="J40" s="126" t="s">
        <v>645</v>
      </c>
      <c r="K40" s="341" t="s">
        <v>754</v>
      </c>
      <c r="L40" s="121" t="s">
        <v>519</v>
      </c>
      <c r="M40" s="123" t="s">
        <v>755</v>
      </c>
      <c r="N40" s="129">
        <v>43709</v>
      </c>
      <c r="O40" s="129">
        <v>44895</v>
      </c>
      <c r="P40" s="129">
        <v>44895</v>
      </c>
      <c r="Q40" s="323">
        <v>185695</v>
      </c>
      <c r="R40" s="319"/>
      <c r="S40" s="324">
        <v>48335</v>
      </c>
      <c r="T40" s="324"/>
      <c r="U40" s="324">
        <v>7620</v>
      </c>
      <c r="V40" s="324"/>
      <c r="W40" s="324">
        <v>6000</v>
      </c>
      <c r="X40" s="324"/>
      <c r="Y40" s="312">
        <v>61955</v>
      </c>
      <c r="Z40" s="325">
        <v>61955</v>
      </c>
      <c r="AA40" s="325">
        <v>0</v>
      </c>
      <c r="AB40" s="326"/>
      <c r="AC40" s="324">
        <v>48335</v>
      </c>
      <c r="AD40" s="324"/>
      <c r="AE40" s="324">
        <v>5430</v>
      </c>
      <c r="AF40" s="324"/>
      <c r="AG40" s="324">
        <v>8000</v>
      </c>
      <c r="AH40" s="324"/>
      <c r="AI40" s="312">
        <v>61765</v>
      </c>
      <c r="AJ40" s="327">
        <v>61765</v>
      </c>
      <c r="AK40" s="327">
        <v>0</v>
      </c>
      <c r="AL40" s="328"/>
      <c r="AM40" s="324">
        <v>48335</v>
      </c>
      <c r="AN40" s="324"/>
      <c r="AO40" s="324">
        <v>5640</v>
      </c>
      <c r="AP40" s="324"/>
      <c r="AQ40" s="324">
        <v>8000</v>
      </c>
      <c r="AR40" s="279"/>
      <c r="AS40" s="293">
        <v>61975</v>
      </c>
      <c r="AT40" s="327">
        <v>61975</v>
      </c>
      <c r="AU40" s="327">
        <v>0</v>
      </c>
      <c r="AV40" s="328"/>
      <c r="AW40" s="279"/>
      <c r="AX40" s="279"/>
      <c r="AY40" s="279"/>
      <c r="AZ40" s="279"/>
      <c r="BA40" s="279"/>
      <c r="BB40" s="279"/>
      <c r="BC40" s="293"/>
      <c r="BD40" s="319"/>
      <c r="BE40" s="293"/>
      <c r="BF40" s="319"/>
      <c r="BG40" s="293"/>
      <c r="BH40" s="293"/>
      <c r="BI40" s="337">
        <v>185695</v>
      </c>
      <c r="BJ40" s="338">
        <v>0</v>
      </c>
      <c r="BK40" s="126"/>
    </row>
    <row r="41" spans="1:63" ht="15.75">
      <c r="A41" s="314">
        <v>500658</v>
      </c>
      <c r="B41" s="125" t="s">
        <v>756</v>
      </c>
      <c r="C41" s="124" t="s">
        <v>191</v>
      </c>
      <c r="D41" s="126">
        <v>203442</v>
      </c>
      <c r="E41" s="148" t="s">
        <v>757</v>
      </c>
      <c r="F41" s="148" t="s">
        <v>758</v>
      </c>
      <c r="G41" s="127" t="s">
        <v>53</v>
      </c>
      <c r="H41" s="126" t="s">
        <v>597</v>
      </c>
      <c r="I41" s="126" t="s">
        <v>598</v>
      </c>
      <c r="J41" s="126" t="s">
        <v>683</v>
      </c>
      <c r="K41" s="128" t="s">
        <v>684</v>
      </c>
      <c r="L41" s="121" t="s">
        <v>637</v>
      </c>
      <c r="M41" s="123" t="s">
        <v>638</v>
      </c>
      <c r="N41" s="129">
        <v>42614</v>
      </c>
      <c r="O41" s="129">
        <v>43100</v>
      </c>
      <c r="P41" s="129">
        <v>42978</v>
      </c>
      <c r="Q41" s="330">
        <v>75000</v>
      </c>
      <c r="R41" s="324">
        <v>75000</v>
      </c>
      <c r="S41" s="324"/>
      <c r="T41" s="324">
        <v>0</v>
      </c>
      <c r="U41" s="324">
        <v>0</v>
      </c>
      <c r="V41" s="324"/>
      <c r="W41" s="324"/>
      <c r="X41" s="324"/>
      <c r="Y41" s="312">
        <v>75000</v>
      </c>
      <c r="Z41" s="325">
        <v>75000</v>
      </c>
      <c r="AA41" s="325">
        <v>0</v>
      </c>
      <c r="AB41" s="326"/>
      <c r="AC41" s="324" t="s">
        <v>602</v>
      </c>
      <c r="AD41" s="324" t="s">
        <v>602</v>
      </c>
      <c r="AE41" s="324" t="s">
        <v>602</v>
      </c>
      <c r="AF41" s="324" t="s">
        <v>602</v>
      </c>
      <c r="AG41" s="324" t="s">
        <v>602</v>
      </c>
      <c r="AH41" s="324"/>
      <c r="AI41" s="312">
        <v>0</v>
      </c>
      <c r="AJ41" s="327">
        <v>0</v>
      </c>
      <c r="AK41" s="327">
        <v>0</v>
      </c>
      <c r="AL41" s="328"/>
      <c r="AM41" s="324">
        <v>0</v>
      </c>
      <c r="AN41" s="324">
        <v>0</v>
      </c>
      <c r="AO41" s="324">
        <v>0</v>
      </c>
      <c r="AP41" s="324">
        <v>0</v>
      </c>
      <c r="AQ41" s="324">
        <v>0</v>
      </c>
      <c r="AR41" s="324">
        <v>0</v>
      </c>
      <c r="AS41" s="293">
        <v>0</v>
      </c>
      <c r="AT41" s="327">
        <v>0</v>
      </c>
      <c r="AU41" s="327">
        <v>0</v>
      </c>
      <c r="AV41" s="328"/>
      <c r="AW41" s="324" t="s">
        <v>602</v>
      </c>
      <c r="AX41" s="324" t="s">
        <v>602</v>
      </c>
      <c r="AY41" s="324" t="s">
        <v>602</v>
      </c>
      <c r="AZ41" s="324" t="s">
        <v>602</v>
      </c>
      <c r="BA41" s="324"/>
      <c r="BB41" s="324" t="s">
        <v>602</v>
      </c>
      <c r="BC41" s="293"/>
      <c r="BD41" s="319"/>
      <c r="BE41" s="293"/>
      <c r="BF41" s="319"/>
      <c r="BG41" s="293"/>
      <c r="BH41" s="293"/>
      <c r="BI41" s="337">
        <v>75000</v>
      </c>
      <c r="BJ41" s="338">
        <v>0</v>
      </c>
      <c r="BK41" s="165" t="s">
        <v>759</v>
      </c>
    </row>
    <row r="42" spans="1:63" ht="15.75">
      <c r="A42" s="314">
        <v>501338</v>
      </c>
      <c r="B42" s="125" t="s">
        <v>756</v>
      </c>
      <c r="C42" s="124" t="s">
        <v>191</v>
      </c>
      <c r="D42" s="126">
        <v>203442</v>
      </c>
      <c r="E42" s="148" t="s">
        <v>757</v>
      </c>
      <c r="F42" s="148" t="s">
        <v>758</v>
      </c>
      <c r="G42" s="127" t="s">
        <v>53</v>
      </c>
      <c r="H42" s="149" t="s">
        <v>628</v>
      </c>
      <c r="I42" s="126" t="s">
        <v>598</v>
      </c>
      <c r="J42" s="126" t="s">
        <v>683</v>
      </c>
      <c r="K42" s="128" t="s">
        <v>684</v>
      </c>
      <c r="L42" s="121" t="s">
        <v>515</v>
      </c>
      <c r="M42" s="123" t="s">
        <v>760</v>
      </c>
      <c r="N42" s="129">
        <v>42614</v>
      </c>
      <c r="O42" s="129">
        <v>43708</v>
      </c>
      <c r="P42" s="129">
        <v>43708</v>
      </c>
      <c r="Q42" s="330">
        <v>267588</v>
      </c>
      <c r="R42" s="331"/>
      <c r="S42" s="324">
        <v>73000</v>
      </c>
      <c r="T42" s="324">
        <v>0</v>
      </c>
      <c r="U42" s="324">
        <v>52000</v>
      </c>
      <c r="V42" s="324"/>
      <c r="W42" s="324">
        <v>5862</v>
      </c>
      <c r="X42" s="324">
        <v>0</v>
      </c>
      <c r="Y42" s="312">
        <v>130862</v>
      </c>
      <c r="Z42" s="325">
        <v>130862</v>
      </c>
      <c r="AA42" s="325">
        <v>0</v>
      </c>
      <c r="AB42" s="326"/>
      <c r="AC42" s="324">
        <v>73000</v>
      </c>
      <c r="AD42" s="324">
        <v>0</v>
      </c>
      <c r="AE42" s="324">
        <v>52002</v>
      </c>
      <c r="AF42" s="324">
        <v>5862</v>
      </c>
      <c r="AG42" s="324">
        <v>0</v>
      </c>
      <c r="AH42" s="324"/>
      <c r="AI42" s="312">
        <v>130864</v>
      </c>
      <c r="AJ42" s="327">
        <v>130864</v>
      </c>
      <c r="AK42" s="327">
        <v>0</v>
      </c>
      <c r="AL42" s="328"/>
      <c r="AM42" s="279">
        <v>0</v>
      </c>
      <c r="AN42" s="279">
        <v>0</v>
      </c>
      <c r="AO42" s="279">
        <v>0</v>
      </c>
      <c r="AP42" s="279"/>
      <c r="AQ42" s="279">
        <v>5862</v>
      </c>
      <c r="AR42" s="279">
        <v>0</v>
      </c>
      <c r="AS42" s="293">
        <v>5862</v>
      </c>
      <c r="AT42" s="327">
        <v>5862</v>
      </c>
      <c r="AU42" s="327">
        <v>0</v>
      </c>
      <c r="AV42" s="328"/>
      <c r="AW42" s="279"/>
      <c r="AX42" s="279"/>
      <c r="AY42" s="279"/>
      <c r="AZ42" s="279"/>
      <c r="BA42" s="279"/>
      <c r="BB42" s="279"/>
      <c r="BC42" s="293"/>
      <c r="BD42" s="319"/>
      <c r="BE42" s="293"/>
      <c r="BF42" s="319"/>
      <c r="BG42" s="293"/>
      <c r="BH42" s="293"/>
      <c r="BI42" s="337">
        <v>267588</v>
      </c>
      <c r="BJ42" s="338">
        <v>0</v>
      </c>
      <c r="BK42" s="280"/>
    </row>
    <row r="43" spans="1:63" ht="15.75">
      <c r="A43" s="314">
        <v>512736</v>
      </c>
      <c r="B43" s="125" t="s">
        <v>756</v>
      </c>
      <c r="C43" s="124" t="s">
        <v>191</v>
      </c>
      <c r="D43" s="126">
        <v>203442</v>
      </c>
      <c r="E43" s="148" t="s">
        <v>757</v>
      </c>
      <c r="F43" s="148" t="s">
        <v>758</v>
      </c>
      <c r="G43" s="127" t="s">
        <v>53</v>
      </c>
      <c r="H43" s="149" t="s">
        <v>628</v>
      </c>
      <c r="I43" s="126" t="s">
        <v>598</v>
      </c>
      <c r="J43" s="126" t="s">
        <v>683</v>
      </c>
      <c r="K43" s="128" t="s">
        <v>684</v>
      </c>
      <c r="L43" s="121" t="s">
        <v>685</v>
      </c>
      <c r="M43" s="123" t="s">
        <v>761</v>
      </c>
      <c r="N43" s="129">
        <v>44409</v>
      </c>
      <c r="O43" s="129">
        <v>44773</v>
      </c>
      <c r="P43" s="129">
        <v>44773</v>
      </c>
      <c r="Q43" s="330">
        <v>72970</v>
      </c>
      <c r="R43" s="331"/>
      <c r="S43" s="324">
        <v>33200</v>
      </c>
      <c r="T43" s="324"/>
      <c r="U43" s="324">
        <v>14770</v>
      </c>
      <c r="V43" s="324"/>
      <c r="W43" s="324">
        <v>25000</v>
      </c>
      <c r="X43" s="324"/>
      <c r="Y43" s="312">
        <v>72970</v>
      </c>
      <c r="Z43" s="325">
        <v>72970</v>
      </c>
      <c r="AA43" s="325">
        <v>0</v>
      </c>
      <c r="AB43" s="326"/>
      <c r="AC43" s="324"/>
      <c r="AD43" s="324"/>
      <c r="AE43" s="324"/>
      <c r="AF43" s="324"/>
      <c r="AG43" s="324"/>
      <c r="AH43" s="324"/>
      <c r="AI43" s="312"/>
      <c r="AJ43" s="327"/>
      <c r="AK43" s="327"/>
      <c r="AL43" s="328"/>
      <c r="AM43" s="279"/>
      <c r="AN43" s="279"/>
      <c r="AO43" s="279"/>
      <c r="AP43" s="279"/>
      <c r="AQ43" s="279"/>
      <c r="AR43" s="279"/>
      <c r="AS43" s="293"/>
      <c r="AT43" s="327"/>
      <c r="AU43" s="327"/>
      <c r="AV43" s="328"/>
      <c r="AW43" s="279"/>
      <c r="AX43" s="279"/>
      <c r="AY43" s="279"/>
      <c r="AZ43" s="279"/>
      <c r="BA43" s="279"/>
      <c r="BB43" s="279"/>
      <c r="BC43" s="293"/>
      <c r="BD43" s="319"/>
      <c r="BE43" s="293"/>
      <c r="BF43" s="319"/>
      <c r="BG43" s="293"/>
      <c r="BH43" s="293"/>
      <c r="BI43" s="337">
        <v>72970</v>
      </c>
      <c r="BJ43" s="338">
        <v>0</v>
      </c>
      <c r="BK43" s="280"/>
    </row>
    <row r="44" spans="1:63" ht="15.75">
      <c r="A44" s="314">
        <v>500937</v>
      </c>
      <c r="B44" s="125" t="s">
        <v>762</v>
      </c>
      <c r="C44" s="124" t="s">
        <v>317</v>
      </c>
      <c r="D44" s="126">
        <v>203561</v>
      </c>
      <c r="E44" s="124" t="s">
        <v>763</v>
      </c>
      <c r="F44" s="124" t="s">
        <v>764</v>
      </c>
      <c r="G44" s="127" t="s">
        <v>53</v>
      </c>
      <c r="H44" s="126" t="s">
        <v>597</v>
      </c>
      <c r="I44" s="126" t="s">
        <v>598</v>
      </c>
      <c r="J44" s="126" t="s">
        <v>683</v>
      </c>
      <c r="K44" s="128" t="s">
        <v>684</v>
      </c>
      <c r="L44" s="121" t="s">
        <v>637</v>
      </c>
      <c r="M44" s="123" t="s">
        <v>638</v>
      </c>
      <c r="N44" s="129">
        <v>42248</v>
      </c>
      <c r="O44" s="129">
        <v>42643</v>
      </c>
      <c r="P44" s="129">
        <v>42643</v>
      </c>
      <c r="Q44" s="323">
        <v>40000</v>
      </c>
      <c r="R44" s="324">
        <v>40000</v>
      </c>
      <c r="S44" s="324"/>
      <c r="T44" s="324">
        <v>0</v>
      </c>
      <c r="U44" s="324">
        <v>0</v>
      </c>
      <c r="V44" s="324"/>
      <c r="W44" s="324">
        <v>0</v>
      </c>
      <c r="X44" s="324">
        <v>0</v>
      </c>
      <c r="Y44" s="312">
        <v>40000</v>
      </c>
      <c r="Z44" s="325">
        <v>40000</v>
      </c>
      <c r="AA44" s="325">
        <v>0</v>
      </c>
      <c r="AB44" s="326"/>
      <c r="AC44" s="324" t="s">
        <v>602</v>
      </c>
      <c r="AD44" s="324" t="s">
        <v>602</v>
      </c>
      <c r="AE44" s="324" t="s">
        <v>602</v>
      </c>
      <c r="AF44" s="324" t="s">
        <v>602</v>
      </c>
      <c r="AG44" s="324" t="s">
        <v>602</v>
      </c>
      <c r="AH44" s="324"/>
      <c r="AI44" s="312">
        <v>0</v>
      </c>
      <c r="AJ44" s="327">
        <v>0</v>
      </c>
      <c r="AK44" s="327">
        <v>0</v>
      </c>
      <c r="AL44" s="328"/>
      <c r="AM44" s="324" t="s">
        <v>602</v>
      </c>
      <c r="AN44" s="324" t="s">
        <v>602</v>
      </c>
      <c r="AO44" s="324" t="s">
        <v>602</v>
      </c>
      <c r="AP44" s="324" t="s">
        <v>602</v>
      </c>
      <c r="AQ44" s="324" t="s">
        <v>602</v>
      </c>
      <c r="AR44" s="279" t="s">
        <v>602</v>
      </c>
      <c r="AS44" s="293">
        <v>0</v>
      </c>
      <c r="AT44" s="327">
        <v>0</v>
      </c>
      <c r="AU44" s="327">
        <v>0</v>
      </c>
      <c r="AV44" s="328"/>
      <c r="AW44" s="324" t="s">
        <v>602</v>
      </c>
      <c r="AX44" s="324" t="s">
        <v>602</v>
      </c>
      <c r="AY44" s="324" t="s">
        <v>602</v>
      </c>
      <c r="AZ44" s="324" t="s">
        <v>602</v>
      </c>
      <c r="BA44" s="324"/>
      <c r="BB44" s="324" t="s">
        <v>602</v>
      </c>
      <c r="BC44" s="293"/>
      <c r="BD44" s="319"/>
      <c r="BE44" s="293"/>
      <c r="BF44" s="319"/>
      <c r="BG44" s="293"/>
      <c r="BH44" s="293"/>
      <c r="BI44" s="337">
        <v>40000</v>
      </c>
      <c r="BJ44" s="338">
        <v>0</v>
      </c>
      <c r="BK44" s="126"/>
    </row>
    <row r="45" spans="1:63" ht="15.75">
      <c r="A45" s="314">
        <v>500976</v>
      </c>
      <c r="B45" s="125" t="s">
        <v>762</v>
      </c>
      <c r="C45" s="124" t="s">
        <v>317</v>
      </c>
      <c r="D45" s="126">
        <v>203561</v>
      </c>
      <c r="E45" s="124" t="s">
        <v>763</v>
      </c>
      <c r="F45" s="124" t="s">
        <v>764</v>
      </c>
      <c r="G45" s="127" t="s">
        <v>53</v>
      </c>
      <c r="H45" s="126" t="s">
        <v>597</v>
      </c>
      <c r="I45" s="126" t="s">
        <v>598</v>
      </c>
      <c r="J45" s="126" t="s">
        <v>683</v>
      </c>
      <c r="K45" s="128" t="s">
        <v>684</v>
      </c>
      <c r="L45" s="121" t="s">
        <v>19</v>
      </c>
      <c r="M45" s="123" t="s">
        <v>661</v>
      </c>
      <c r="N45" s="129">
        <v>42522</v>
      </c>
      <c r="O45" s="129">
        <v>43251</v>
      </c>
      <c r="P45" s="129">
        <v>43251</v>
      </c>
      <c r="Q45" s="323">
        <v>150000</v>
      </c>
      <c r="R45" s="324">
        <v>75000</v>
      </c>
      <c r="S45" s="324">
        <v>0</v>
      </c>
      <c r="T45" s="324">
        <v>0</v>
      </c>
      <c r="U45" s="324">
        <v>0</v>
      </c>
      <c r="V45" s="324">
        <v>0</v>
      </c>
      <c r="W45" s="324">
        <v>0</v>
      </c>
      <c r="X45" s="324">
        <v>0</v>
      </c>
      <c r="Y45" s="312">
        <v>75000</v>
      </c>
      <c r="Z45" s="325">
        <v>75000</v>
      </c>
      <c r="AA45" s="325">
        <v>0</v>
      </c>
      <c r="AB45" s="324">
        <v>75000</v>
      </c>
      <c r="AC45" s="324">
        <v>0</v>
      </c>
      <c r="AD45" s="324">
        <v>0</v>
      </c>
      <c r="AE45" s="324">
        <v>0</v>
      </c>
      <c r="AF45" s="324">
        <v>0</v>
      </c>
      <c r="AG45" s="324">
        <v>0</v>
      </c>
      <c r="AH45" s="324"/>
      <c r="AI45" s="312">
        <v>75000</v>
      </c>
      <c r="AJ45" s="327">
        <v>75000</v>
      </c>
      <c r="AK45" s="327">
        <v>0</v>
      </c>
      <c r="AL45" s="339"/>
      <c r="AM45" s="324" t="s">
        <v>602</v>
      </c>
      <c r="AN45" s="324" t="s">
        <v>602</v>
      </c>
      <c r="AO45" s="324" t="s">
        <v>602</v>
      </c>
      <c r="AP45" s="324" t="s">
        <v>602</v>
      </c>
      <c r="AQ45" s="324" t="s">
        <v>602</v>
      </c>
      <c r="AR45" s="279" t="s">
        <v>765</v>
      </c>
      <c r="AS45" s="293">
        <v>0</v>
      </c>
      <c r="AT45" s="327">
        <v>0</v>
      </c>
      <c r="AU45" s="327">
        <v>0</v>
      </c>
      <c r="AV45" s="328"/>
      <c r="AW45" s="279"/>
      <c r="AX45" s="279"/>
      <c r="AY45" s="279"/>
      <c r="AZ45" s="279"/>
      <c r="BA45" s="279"/>
      <c r="BB45" s="279"/>
      <c r="BC45" s="293"/>
      <c r="BD45" s="319"/>
      <c r="BE45" s="293"/>
      <c r="BF45" s="319"/>
      <c r="BG45" s="293"/>
      <c r="BH45" s="293"/>
      <c r="BI45" s="337">
        <v>150000</v>
      </c>
      <c r="BJ45" s="338">
        <v>0</v>
      </c>
      <c r="BK45" s="126"/>
    </row>
    <row r="46" spans="1:63" ht="15.75">
      <c r="A46" s="314">
        <v>501106</v>
      </c>
      <c r="B46" s="125" t="s">
        <v>762</v>
      </c>
      <c r="C46" s="124" t="s">
        <v>317</v>
      </c>
      <c r="D46" s="126">
        <v>203561</v>
      </c>
      <c r="E46" s="124" t="s">
        <v>763</v>
      </c>
      <c r="F46" s="124" t="s">
        <v>764</v>
      </c>
      <c r="G46" s="127" t="s">
        <v>53</v>
      </c>
      <c r="H46" s="126" t="s">
        <v>597</v>
      </c>
      <c r="I46" s="126" t="s">
        <v>598</v>
      </c>
      <c r="J46" s="126" t="s">
        <v>683</v>
      </c>
      <c r="K46" s="128" t="s">
        <v>684</v>
      </c>
      <c r="L46" s="121" t="s">
        <v>652</v>
      </c>
      <c r="M46" s="123" t="s">
        <v>638</v>
      </c>
      <c r="N46" s="129">
        <v>42339</v>
      </c>
      <c r="O46" s="129">
        <v>42551</v>
      </c>
      <c r="P46" s="129">
        <v>42580</v>
      </c>
      <c r="Q46" s="323">
        <v>24992</v>
      </c>
      <c r="R46" s="324">
        <v>24992</v>
      </c>
      <c r="S46" s="324">
        <v>0</v>
      </c>
      <c r="T46" s="324">
        <v>0</v>
      </c>
      <c r="U46" s="324">
        <v>0</v>
      </c>
      <c r="V46" s="324"/>
      <c r="W46" s="324">
        <v>0</v>
      </c>
      <c r="X46" s="324">
        <v>0</v>
      </c>
      <c r="Y46" s="312">
        <v>24992</v>
      </c>
      <c r="Z46" s="325">
        <v>24992</v>
      </c>
      <c r="AA46" s="325">
        <v>0</v>
      </c>
      <c r="AB46" s="326"/>
      <c r="AC46" s="324" t="s">
        <v>602</v>
      </c>
      <c r="AD46" s="324" t="s">
        <v>602</v>
      </c>
      <c r="AE46" s="324" t="s">
        <v>602</v>
      </c>
      <c r="AF46" s="324" t="s">
        <v>602</v>
      </c>
      <c r="AG46" s="324" t="s">
        <v>602</v>
      </c>
      <c r="AH46" s="324"/>
      <c r="AI46" s="312">
        <v>0</v>
      </c>
      <c r="AJ46" s="327">
        <v>0</v>
      </c>
      <c r="AK46" s="327">
        <v>0</v>
      </c>
      <c r="AL46" s="328"/>
      <c r="AM46" s="324" t="s">
        <v>602</v>
      </c>
      <c r="AN46" s="324" t="s">
        <v>602</v>
      </c>
      <c r="AO46" s="324" t="s">
        <v>602</v>
      </c>
      <c r="AP46" s="324" t="s">
        <v>602</v>
      </c>
      <c r="AQ46" s="324" t="s">
        <v>602</v>
      </c>
      <c r="AR46" s="279" t="s">
        <v>602</v>
      </c>
      <c r="AS46" s="293">
        <v>0</v>
      </c>
      <c r="AT46" s="327">
        <v>0</v>
      </c>
      <c r="AU46" s="327">
        <v>0</v>
      </c>
      <c r="AV46" s="328"/>
      <c r="AW46" s="279"/>
      <c r="AX46" s="279"/>
      <c r="AY46" s="279"/>
      <c r="AZ46" s="279"/>
      <c r="BA46" s="279"/>
      <c r="BB46" s="279"/>
      <c r="BC46" s="293"/>
      <c r="BD46" s="319"/>
      <c r="BE46" s="293"/>
      <c r="BF46" s="319"/>
      <c r="BG46" s="293"/>
      <c r="BH46" s="293"/>
      <c r="BI46" s="337">
        <v>24992</v>
      </c>
      <c r="BJ46" s="338">
        <v>0</v>
      </c>
      <c r="BK46" s="126" t="s">
        <v>766</v>
      </c>
    </row>
    <row r="47" spans="1:63" ht="15.75">
      <c r="A47" s="314">
        <v>501342</v>
      </c>
      <c r="B47" s="125" t="s">
        <v>762</v>
      </c>
      <c r="C47" s="124" t="s">
        <v>317</v>
      </c>
      <c r="D47" s="126">
        <v>203561</v>
      </c>
      <c r="E47" s="124" t="s">
        <v>763</v>
      </c>
      <c r="F47" s="124" t="s">
        <v>764</v>
      </c>
      <c r="G47" s="127" t="s">
        <v>53</v>
      </c>
      <c r="H47" s="126" t="s">
        <v>628</v>
      </c>
      <c r="I47" s="126" t="s">
        <v>598</v>
      </c>
      <c r="J47" s="126" t="s">
        <v>683</v>
      </c>
      <c r="K47" s="128" t="s">
        <v>684</v>
      </c>
      <c r="L47" s="121" t="s">
        <v>515</v>
      </c>
      <c r="M47" s="123" t="s">
        <v>767</v>
      </c>
      <c r="N47" s="129">
        <v>42614</v>
      </c>
      <c r="O47" s="129">
        <v>44286</v>
      </c>
      <c r="P47" s="129">
        <v>44286</v>
      </c>
      <c r="Q47" s="323">
        <v>217527</v>
      </c>
      <c r="R47" s="319"/>
      <c r="S47" s="324">
        <v>55000</v>
      </c>
      <c r="T47" s="324">
        <v>0</v>
      </c>
      <c r="U47" s="324">
        <v>12589</v>
      </c>
      <c r="V47" s="324"/>
      <c r="W47" s="324">
        <v>4920</v>
      </c>
      <c r="X47" s="324">
        <v>0</v>
      </c>
      <c r="Y47" s="312">
        <v>72509</v>
      </c>
      <c r="Z47" s="325">
        <v>72509</v>
      </c>
      <c r="AA47" s="325">
        <v>0</v>
      </c>
      <c r="AB47" s="326"/>
      <c r="AC47" s="324">
        <v>55000</v>
      </c>
      <c r="AD47" s="324">
        <v>0</v>
      </c>
      <c r="AE47" s="324">
        <v>12589</v>
      </c>
      <c r="AF47" s="324">
        <v>4920</v>
      </c>
      <c r="AG47" s="324">
        <v>0</v>
      </c>
      <c r="AH47" s="324"/>
      <c r="AI47" s="312">
        <v>72509</v>
      </c>
      <c r="AJ47" s="327">
        <v>72509</v>
      </c>
      <c r="AK47" s="327">
        <v>0</v>
      </c>
      <c r="AL47" s="328"/>
      <c r="AM47" s="279">
        <v>55000</v>
      </c>
      <c r="AN47" s="279">
        <v>0</v>
      </c>
      <c r="AO47" s="279">
        <v>12586</v>
      </c>
      <c r="AP47" s="279"/>
      <c r="AQ47" s="279">
        <v>4920</v>
      </c>
      <c r="AR47" s="279">
        <v>0</v>
      </c>
      <c r="AS47" s="293">
        <v>72509</v>
      </c>
      <c r="AT47" s="327">
        <v>72506</v>
      </c>
      <c r="AU47" s="327">
        <v>-3</v>
      </c>
      <c r="AV47" s="328"/>
      <c r="AW47" s="279"/>
      <c r="AX47" s="279"/>
      <c r="AY47" s="279"/>
      <c r="AZ47" s="279"/>
      <c r="BA47" s="279"/>
      <c r="BB47" s="279"/>
      <c r="BC47" s="293"/>
      <c r="BD47" s="319"/>
      <c r="BE47" s="293"/>
      <c r="BF47" s="319"/>
      <c r="BG47" s="293"/>
      <c r="BH47" s="293"/>
      <c r="BI47" s="337">
        <v>217527</v>
      </c>
      <c r="BJ47" s="338">
        <v>0</v>
      </c>
      <c r="BK47" s="126"/>
    </row>
    <row r="48" spans="1:63" ht="15.75">
      <c r="A48" s="314">
        <v>501347</v>
      </c>
      <c r="B48" s="125" t="s">
        <v>762</v>
      </c>
      <c r="C48" s="124" t="s">
        <v>317</v>
      </c>
      <c r="D48" s="126">
        <v>203561</v>
      </c>
      <c r="E48" s="124" t="s">
        <v>763</v>
      </c>
      <c r="F48" s="124" t="s">
        <v>764</v>
      </c>
      <c r="G48" s="127" t="s">
        <v>53</v>
      </c>
      <c r="H48" s="126" t="s">
        <v>597</v>
      </c>
      <c r="I48" s="126" t="s">
        <v>598</v>
      </c>
      <c r="J48" s="126" t="s">
        <v>683</v>
      </c>
      <c r="K48" s="128" t="s">
        <v>684</v>
      </c>
      <c r="L48" s="121" t="s">
        <v>515</v>
      </c>
      <c r="M48" s="123" t="s">
        <v>768</v>
      </c>
      <c r="N48" s="129">
        <v>42614</v>
      </c>
      <c r="O48" s="129">
        <v>43708</v>
      </c>
      <c r="P48" s="129">
        <v>43343</v>
      </c>
      <c r="Q48" s="323">
        <v>255570</v>
      </c>
      <c r="R48" s="319"/>
      <c r="S48" s="324">
        <v>52500</v>
      </c>
      <c r="T48" s="324">
        <v>0</v>
      </c>
      <c r="U48" s="324">
        <v>17500</v>
      </c>
      <c r="V48" s="324"/>
      <c r="W48" s="324">
        <v>10190</v>
      </c>
      <c r="X48" s="324">
        <v>5000</v>
      </c>
      <c r="Y48" s="312">
        <v>85190</v>
      </c>
      <c r="Z48" s="325">
        <v>85190</v>
      </c>
      <c r="AA48" s="325">
        <v>0</v>
      </c>
      <c r="AB48" s="326"/>
      <c r="AC48" s="324">
        <v>52500</v>
      </c>
      <c r="AD48" s="324">
        <v>0</v>
      </c>
      <c r="AE48" s="324">
        <v>17500</v>
      </c>
      <c r="AF48" s="324">
        <v>10190</v>
      </c>
      <c r="AG48" s="324">
        <v>5000</v>
      </c>
      <c r="AH48" s="324"/>
      <c r="AI48" s="312">
        <v>85190</v>
      </c>
      <c r="AJ48" s="327">
        <v>85190</v>
      </c>
      <c r="AK48" s="327">
        <v>0</v>
      </c>
      <c r="AL48" s="328"/>
      <c r="AM48" s="279">
        <v>52500</v>
      </c>
      <c r="AN48" s="279">
        <v>0</v>
      </c>
      <c r="AO48" s="279">
        <v>17500</v>
      </c>
      <c r="AP48" s="279"/>
      <c r="AQ48" s="279">
        <v>10190</v>
      </c>
      <c r="AR48" s="279">
        <v>5000</v>
      </c>
      <c r="AS48" s="293">
        <v>85190</v>
      </c>
      <c r="AT48" s="327">
        <v>85190</v>
      </c>
      <c r="AU48" s="327">
        <v>0</v>
      </c>
      <c r="AV48" s="328"/>
      <c r="AW48" s="279"/>
      <c r="AX48" s="279"/>
      <c r="AY48" s="279"/>
      <c r="AZ48" s="279"/>
      <c r="BA48" s="279"/>
      <c r="BB48" s="279"/>
      <c r="BC48" s="293"/>
      <c r="BD48" s="319"/>
      <c r="BE48" s="293"/>
      <c r="BF48" s="319"/>
      <c r="BG48" s="293"/>
      <c r="BH48" s="293"/>
      <c r="BI48" s="337">
        <v>255570</v>
      </c>
      <c r="BJ48" s="338">
        <v>0</v>
      </c>
      <c r="BK48" s="126"/>
    </row>
    <row r="49" spans="1:63" ht="15.75">
      <c r="A49" s="314">
        <v>507777</v>
      </c>
      <c r="B49" s="124" t="s">
        <v>762</v>
      </c>
      <c r="C49" s="124" t="s">
        <v>317</v>
      </c>
      <c r="D49" s="126">
        <v>203561</v>
      </c>
      <c r="E49" s="124" t="s">
        <v>763</v>
      </c>
      <c r="F49" s="124" t="s">
        <v>764</v>
      </c>
      <c r="G49" s="127" t="s">
        <v>53</v>
      </c>
      <c r="H49" s="126" t="s">
        <v>628</v>
      </c>
      <c r="I49" s="126" t="s">
        <v>598</v>
      </c>
      <c r="J49" s="126" t="s">
        <v>683</v>
      </c>
      <c r="K49" s="128" t="s">
        <v>684</v>
      </c>
      <c r="L49" s="121" t="s">
        <v>519</v>
      </c>
      <c r="M49" s="123" t="s">
        <v>769</v>
      </c>
      <c r="N49" s="129">
        <v>43709</v>
      </c>
      <c r="O49" s="129">
        <v>44895</v>
      </c>
      <c r="P49" s="129">
        <v>44895</v>
      </c>
      <c r="Q49" s="323">
        <v>267192</v>
      </c>
      <c r="R49" s="319"/>
      <c r="S49" s="324">
        <v>40320</v>
      </c>
      <c r="T49" s="324">
        <v>0</v>
      </c>
      <c r="U49" s="324">
        <v>36720</v>
      </c>
      <c r="V49" s="324">
        <v>2880</v>
      </c>
      <c r="W49" s="324">
        <v>9144</v>
      </c>
      <c r="X49" s="324">
        <v>0</v>
      </c>
      <c r="Y49" s="312">
        <v>89064</v>
      </c>
      <c r="Z49" s="325">
        <v>89064</v>
      </c>
      <c r="AA49" s="325">
        <v>0</v>
      </c>
      <c r="AB49" s="326"/>
      <c r="AC49" s="324">
        <v>40320</v>
      </c>
      <c r="AD49" s="324">
        <v>0</v>
      </c>
      <c r="AE49" s="324">
        <v>36720</v>
      </c>
      <c r="AF49" s="324">
        <v>2880</v>
      </c>
      <c r="AG49" s="324">
        <v>9144</v>
      </c>
      <c r="AH49" s="324">
        <v>0</v>
      </c>
      <c r="AI49" s="312">
        <v>89064</v>
      </c>
      <c r="AJ49" s="327">
        <v>89064</v>
      </c>
      <c r="AK49" s="327">
        <v>0</v>
      </c>
      <c r="AL49" s="328"/>
      <c r="AM49" s="324">
        <v>40320</v>
      </c>
      <c r="AN49" s="324">
        <v>0</v>
      </c>
      <c r="AO49" s="324">
        <v>36720</v>
      </c>
      <c r="AP49" s="324">
        <v>2880</v>
      </c>
      <c r="AQ49" s="324">
        <v>9144</v>
      </c>
      <c r="AR49" s="324">
        <v>0</v>
      </c>
      <c r="AS49" s="293">
        <v>89064</v>
      </c>
      <c r="AT49" s="327">
        <v>89064</v>
      </c>
      <c r="AU49" s="327">
        <v>0</v>
      </c>
      <c r="AV49" s="328"/>
      <c r="AW49" s="279"/>
      <c r="AX49" s="279"/>
      <c r="AY49" s="279"/>
      <c r="AZ49" s="279"/>
      <c r="BA49" s="279"/>
      <c r="BB49" s="279"/>
      <c r="BC49" s="293"/>
      <c r="BD49" s="319"/>
      <c r="BE49" s="293"/>
      <c r="BF49" s="319"/>
      <c r="BG49" s="293"/>
      <c r="BH49" s="293"/>
      <c r="BI49" s="337">
        <v>267192</v>
      </c>
      <c r="BJ49" s="338">
        <v>0</v>
      </c>
      <c r="BK49" s="126"/>
    </row>
    <row r="50" spans="1:63" ht="15.75">
      <c r="A50" s="314">
        <v>500081</v>
      </c>
      <c r="B50" s="125" t="s">
        <v>770</v>
      </c>
      <c r="C50" s="124" t="s">
        <v>771</v>
      </c>
      <c r="D50" s="126">
        <v>203615</v>
      </c>
      <c r="E50" s="124" t="s">
        <v>772</v>
      </c>
      <c r="F50" s="124" t="s">
        <v>773</v>
      </c>
      <c r="G50" s="127" t="s">
        <v>46</v>
      </c>
      <c r="H50" s="126" t="s">
        <v>597</v>
      </c>
      <c r="I50" s="123" t="s">
        <v>703</v>
      </c>
      <c r="J50" s="126" t="s">
        <v>774</v>
      </c>
      <c r="K50" s="126" t="s">
        <v>775</v>
      </c>
      <c r="L50" s="121" t="s">
        <v>637</v>
      </c>
      <c r="M50" s="123" t="s">
        <v>638</v>
      </c>
      <c r="N50" s="129">
        <v>42248</v>
      </c>
      <c r="O50" s="129">
        <v>42643</v>
      </c>
      <c r="P50" s="129">
        <v>42670</v>
      </c>
      <c r="Q50" s="323">
        <v>48300</v>
      </c>
      <c r="R50" s="324">
        <v>48300</v>
      </c>
      <c r="S50" s="324"/>
      <c r="T50" s="324">
        <v>0</v>
      </c>
      <c r="U50" s="324">
        <v>0</v>
      </c>
      <c r="V50" s="324"/>
      <c r="W50" s="324">
        <v>0</v>
      </c>
      <c r="X50" s="324">
        <v>0</v>
      </c>
      <c r="Y50" s="312">
        <v>48300</v>
      </c>
      <c r="Z50" s="325">
        <v>48300</v>
      </c>
      <c r="AA50" s="325">
        <v>0</v>
      </c>
      <c r="AB50" s="326"/>
      <c r="AC50" s="324" t="s">
        <v>602</v>
      </c>
      <c r="AD50" s="324" t="s">
        <v>602</v>
      </c>
      <c r="AE50" s="324" t="s">
        <v>602</v>
      </c>
      <c r="AF50" s="324" t="s">
        <v>602</v>
      </c>
      <c r="AG50" s="324" t="s">
        <v>602</v>
      </c>
      <c r="AH50" s="324"/>
      <c r="AI50" s="312">
        <v>0</v>
      </c>
      <c r="AJ50" s="327">
        <v>0</v>
      </c>
      <c r="AK50" s="327">
        <v>0</v>
      </c>
      <c r="AL50" s="328"/>
      <c r="AM50" s="324" t="s">
        <v>602</v>
      </c>
      <c r="AN50" s="324" t="s">
        <v>602</v>
      </c>
      <c r="AO50" s="324" t="s">
        <v>602</v>
      </c>
      <c r="AP50" s="324" t="s">
        <v>602</v>
      </c>
      <c r="AQ50" s="324" t="s">
        <v>602</v>
      </c>
      <c r="AR50" s="279" t="s">
        <v>602</v>
      </c>
      <c r="AS50" s="293">
        <v>0</v>
      </c>
      <c r="AT50" s="327">
        <v>0</v>
      </c>
      <c r="AU50" s="327">
        <v>0</v>
      </c>
      <c r="AV50" s="328"/>
      <c r="AW50" s="324" t="s">
        <v>602</v>
      </c>
      <c r="AX50" s="324" t="s">
        <v>602</v>
      </c>
      <c r="AY50" s="324" t="s">
        <v>602</v>
      </c>
      <c r="AZ50" s="324" t="s">
        <v>602</v>
      </c>
      <c r="BA50" s="324"/>
      <c r="BB50" s="324" t="s">
        <v>602</v>
      </c>
      <c r="BC50" s="293"/>
      <c r="BD50" s="319"/>
      <c r="BE50" s="293"/>
      <c r="BF50" s="319"/>
      <c r="BG50" s="293"/>
      <c r="BH50" s="293"/>
      <c r="BI50" s="337">
        <v>48300</v>
      </c>
      <c r="BJ50" s="338">
        <v>0</v>
      </c>
      <c r="BK50" s="126"/>
    </row>
    <row r="51" spans="1:63" ht="15.75">
      <c r="A51" s="314">
        <v>501346</v>
      </c>
      <c r="B51" s="125" t="s">
        <v>770</v>
      </c>
      <c r="C51" s="124" t="s">
        <v>771</v>
      </c>
      <c r="D51" s="126">
        <v>203615</v>
      </c>
      <c r="E51" s="124" t="s">
        <v>772</v>
      </c>
      <c r="F51" s="124" t="s">
        <v>773</v>
      </c>
      <c r="G51" s="127" t="s">
        <v>46</v>
      </c>
      <c r="H51" s="126" t="s">
        <v>597</v>
      </c>
      <c r="I51" s="123" t="s">
        <v>703</v>
      </c>
      <c r="J51" s="126" t="s">
        <v>774</v>
      </c>
      <c r="K51" s="126" t="s">
        <v>775</v>
      </c>
      <c r="L51" s="121" t="s">
        <v>515</v>
      </c>
      <c r="M51" s="123" t="s">
        <v>744</v>
      </c>
      <c r="N51" s="129">
        <v>42614</v>
      </c>
      <c r="O51" s="129">
        <v>43830</v>
      </c>
      <c r="P51" s="129">
        <v>43830</v>
      </c>
      <c r="Q51" s="323">
        <v>595000</v>
      </c>
      <c r="R51" s="319"/>
      <c r="S51" s="324">
        <v>123000</v>
      </c>
      <c r="T51" s="324">
        <v>14273</v>
      </c>
      <c r="U51" s="324">
        <v>52727</v>
      </c>
      <c r="V51" s="324"/>
      <c r="W51" s="324">
        <v>5000</v>
      </c>
      <c r="X51" s="324">
        <v>0</v>
      </c>
      <c r="Y51" s="312">
        <v>195000</v>
      </c>
      <c r="Z51" s="325">
        <v>195000</v>
      </c>
      <c r="AA51" s="325">
        <v>0</v>
      </c>
      <c r="AB51" s="326"/>
      <c r="AC51" s="324">
        <v>123000</v>
      </c>
      <c r="AD51" s="324">
        <v>0</v>
      </c>
      <c r="AE51" s="324">
        <v>67000</v>
      </c>
      <c r="AF51" s="324"/>
      <c r="AG51" s="324">
        <v>5000</v>
      </c>
      <c r="AH51" s="324">
        <v>5000</v>
      </c>
      <c r="AI51" s="312">
        <v>200000</v>
      </c>
      <c r="AJ51" s="327">
        <v>200000</v>
      </c>
      <c r="AK51" s="327">
        <v>0</v>
      </c>
      <c r="AL51" s="328"/>
      <c r="AM51" s="279">
        <v>123000</v>
      </c>
      <c r="AN51" s="279">
        <v>0</v>
      </c>
      <c r="AO51" s="279">
        <v>67000</v>
      </c>
      <c r="AP51" s="279"/>
      <c r="AQ51" s="279">
        <v>5000</v>
      </c>
      <c r="AR51" s="279">
        <v>5000</v>
      </c>
      <c r="AS51" s="293">
        <v>200000</v>
      </c>
      <c r="AT51" s="327">
        <v>200000</v>
      </c>
      <c r="AU51" s="327">
        <v>0</v>
      </c>
      <c r="AV51" s="328"/>
      <c r="AW51" s="279"/>
      <c r="AX51" s="279"/>
      <c r="AY51" s="279"/>
      <c r="AZ51" s="279"/>
      <c r="BA51" s="279"/>
      <c r="BB51" s="279"/>
      <c r="BC51" s="293"/>
      <c r="BD51" s="319"/>
      <c r="BE51" s="293"/>
      <c r="BF51" s="319"/>
      <c r="BG51" s="293"/>
      <c r="BH51" s="293"/>
      <c r="BI51" s="337">
        <v>595000</v>
      </c>
      <c r="BJ51" s="338">
        <v>0</v>
      </c>
      <c r="BK51" s="126" t="s">
        <v>776</v>
      </c>
    </row>
    <row r="52" spans="1:63" ht="15.75">
      <c r="A52" s="314">
        <v>500458</v>
      </c>
      <c r="B52" s="125" t="s">
        <v>777</v>
      </c>
      <c r="C52" s="124" t="s">
        <v>189</v>
      </c>
      <c r="D52" s="126">
        <v>203628</v>
      </c>
      <c r="E52" s="124" t="s">
        <v>778</v>
      </c>
      <c r="F52" s="124" t="s">
        <v>779</v>
      </c>
      <c r="G52" s="127" t="s">
        <v>53</v>
      </c>
      <c r="H52" s="126" t="s">
        <v>597</v>
      </c>
      <c r="I52" s="126" t="s">
        <v>598</v>
      </c>
      <c r="J52" s="126" t="s">
        <v>683</v>
      </c>
      <c r="K52" s="128" t="s">
        <v>684</v>
      </c>
      <c r="L52" s="121" t="s">
        <v>637</v>
      </c>
      <c r="M52" s="123" t="s">
        <v>638</v>
      </c>
      <c r="N52" s="129">
        <v>43119</v>
      </c>
      <c r="O52" s="129">
        <v>43100</v>
      </c>
      <c r="P52" s="129">
        <v>42735</v>
      </c>
      <c r="Q52" s="323">
        <v>262333</v>
      </c>
      <c r="R52" s="324">
        <v>262333</v>
      </c>
      <c r="S52" s="324"/>
      <c r="T52" s="324">
        <v>0</v>
      </c>
      <c r="U52" s="324">
        <v>0</v>
      </c>
      <c r="V52" s="324"/>
      <c r="W52" s="324">
        <v>0</v>
      </c>
      <c r="X52" s="324">
        <v>0</v>
      </c>
      <c r="Y52" s="312">
        <v>262333</v>
      </c>
      <c r="Z52" s="325">
        <v>262333</v>
      </c>
      <c r="AA52" s="325">
        <v>0</v>
      </c>
      <c r="AB52" s="326"/>
      <c r="AC52" s="324" t="s">
        <v>602</v>
      </c>
      <c r="AD52" s="324" t="s">
        <v>602</v>
      </c>
      <c r="AE52" s="324" t="s">
        <v>602</v>
      </c>
      <c r="AF52" s="324" t="s">
        <v>602</v>
      </c>
      <c r="AG52" s="324" t="s">
        <v>602</v>
      </c>
      <c r="AH52" s="324"/>
      <c r="AI52" s="312">
        <v>0</v>
      </c>
      <c r="AJ52" s="327">
        <v>0</v>
      </c>
      <c r="AK52" s="327">
        <v>0</v>
      </c>
      <c r="AL52" s="328"/>
      <c r="AM52" s="324">
        <v>0</v>
      </c>
      <c r="AN52" s="324">
        <v>0</v>
      </c>
      <c r="AO52" s="324">
        <v>0</v>
      </c>
      <c r="AP52" s="324">
        <v>0</v>
      </c>
      <c r="AQ52" s="324">
        <v>0</v>
      </c>
      <c r="AR52" s="324">
        <v>0</v>
      </c>
      <c r="AS52" s="293">
        <v>0</v>
      </c>
      <c r="AT52" s="327">
        <v>0</v>
      </c>
      <c r="AU52" s="327">
        <v>0</v>
      </c>
      <c r="AV52" s="328"/>
      <c r="AW52" s="324" t="s">
        <v>602</v>
      </c>
      <c r="AX52" s="324" t="s">
        <v>602</v>
      </c>
      <c r="AY52" s="324" t="s">
        <v>602</v>
      </c>
      <c r="AZ52" s="324" t="s">
        <v>602</v>
      </c>
      <c r="BA52" s="324"/>
      <c r="BB52" s="324" t="s">
        <v>602</v>
      </c>
      <c r="BC52" s="293"/>
      <c r="BD52" s="319"/>
      <c r="BE52" s="293"/>
      <c r="BF52" s="319"/>
      <c r="BG52" s="293"/>
      <c r="BH52" s="293"/>
      <c r="BI52" s="337">
        <v>262333</v>
      </c>
      <c r="BJ52" s="338">
        <v>0</v>
      </c>
      <c r="BK52" s="126" t="s">
        <v>759</v>
      </c>
    </row>
    <row r="53" spans="1:63" ht="15.75">
      <c r="A53" s="314">
        <v>501338</v>
      </c>
      <c r="B53" s="125" t="s">
        <v>777</v>
      </c>
      <c r="C53" s="124" t="s">
        <v>189</v>
      </c>
      <c r="D53" s="126">
        <v>203628</v>
      </c>
      <c r="E53" s="124" t="s">
        <v>778</v>
      </c>
      <c r="F53" s="124" t="s">
        <v>779</v>
      </c>
      <c r="G53" s="127" t="s">
        <v>53</v>
      </c>
      <c r="H53" s="126" t="s">
        <v>597</v>
      </c>
      <c r="I53" s="126" t="s">
        <v>598</v>
      </c>
      <c r="J53" s="126" t="s">
        <v>683</v>
      </c>
      <c r="K53" s="128" t="s">
        <v>684</v>
      </c>
      <c r="L53" s="121" t="s">
        <v>515</v>
      </c>
      <c r="M53" s="123" t="s">
        <v>760</v>
      </c>
      <c r="N53" s="129">
        <v>42614</v>
      </c>
      <c r="O53" s="129">
        <v>43708</v>
      </c>
      <c r="P53" s="129">
        <v>43343</v>
      </c>
      <c r="Q53" s="323">
        <v>640000</v>
      </c>
      <c r="R53" s="319"/>
      <c r="S53" s="324">
        <v>116000</v>
      </c>
      <c r="T53" s="324">
        <v>0</v>
      </c>
      <c r="U53" s="324">
        <v>74000</v>
      </c>
      <c r="V53" s="324"/>
      <c r="W53" s="324">
        <v>12000</v>
      </c>
      <c r="X53" s="324">
        <v>5000</v>
      </c>
      <c r="Y53" s="312">
        <v>207000</v>
      </c>
      <c r="Z53" s="325">
        <v>207000</v>
      </c>
      <c r="AA53" s="325">
        <v>0</v>
      </c>
      <c r="AB53" s="326"/>
      <c r="AC53" s="324">
        <v>116000</v>
      </c>
      <c r="AD53" s="324">
        <v>0</v>
      </c>
      <c r="AE53" s="324">
        <v>69000</v>
      </c>
      <c r="AF53" s="324">
        <v>12000</v>
      </c>
      <c r="AG53" s="324">
        <v>0</v>
      </c>
      <c r="AH53" s="324"/>
      <c r="AI53" s="312">
        <v>197000</v>
      </c>
      <c r="AJ53" s="327">
        <v>197000</v>
      </c>
      <c r="AK53" s="327">
        <v>0</v>
      </c>
      <c r="AL53" s="328"/>
      <c r="AM53" s="279">
        <v>156000</v>
      </c>
      <c r="AN53" s="279">
        <v>0</v>
      </c>
      <c r="AO53" s="279">
        <v>69000</v>
      </c>
      <c r="AP53" s="279"/>
      <c r="AQ53" s="279">
        <v>11000</v>
      </c>
      <c r="AR53" s="279">
        <v>0</v>
      </c>
      <c r="AS53" s="293">
        <v>236000</v>
      </c>
      <c r="AT53" s="327">
        <v>236000</v>
      </c>
      <c r="AU53" s="327">
        <v>0</v>
      </c>
      <c r="AV53" s="328"/>
      <c r="AW53" s="279"/>
      <c r="AX53" s="279"/>
      <c r="AY53" s="279"/>
      <c r="AZ53" s="279"/>
      <c r="BA53" s="279"/>
      <c r="BB53" s="279"/>
      <c r="BC53" s="293"/>
      <c r="BD53" s="319"/>
      <c r="BE53" s="293"/>
      <c r="BF53" s="319"/>
      <c r="BG53" s="293"/>
      <c r="BH53" s="293"/>
      <c r="BI53" s="337">
        <v>640000</v>
      </c>
      <c r="BJ53" s="338">
        <v>0</v>
      </c>
      <c r="BK53" s="126"/>
    </row>
    <row r="54" spans="1:63" ht="15.75">
      <c r="A54" s="314">
        <v>502057</v>
      </c>
      <c r="B54" s="125" t="s">
        <v>777</v>
      </c>
      <c r="C54" s="124" t="s">
        <v>189</v>
      </c>
      <c r="D54" s="126">
        <v>203628</v>
      </c>
      <c r="E54" s="124" t="s">
        <v>778</v>
      </c>
      <c r="F54" s="124" t="s">
        <v>779</v>
      </c>
      <c r="G54" s="127" t="s">
        <v>53</v>
      </c>
      <c r="H54" s="126" t="s">
        <v>597</v>
      </c>
      <c r="I54" s="126" t="s">
        <v>598</v>
      </c>
      <c r="J54" s="126" t="s">
        <v>683</v>
      </c>
      <c r="K54" s="128" t="s">
        <v>684</v>
      </c>
      <c r="L54" s="121" t="s">
        <v>732</v>
      </c>
      <c r="M54" s="123" t="s">
        <v>780</v>
      </c>
      <c r="N54" s="129">
        <v>42736</v>
      </c>
      <c r="O54" s="129">
        <v>43251</v>
      </c>
      <c r="P54" s="129">
        <v>43616</v>
      </c>
      <c r="Q54" s="323">
        <v>206870</v>
      </c>
      <c r="R54" s="319"/>
      <c r="S54" s="324">
        <v>0</v>
      </c>
      <c r="T54" s="324"/>
      <c r="U54" s="324">
        <v>206870</v>
      </c>
      <c r="V54" s="324"/>
      <c r="W54" s="324">
        <v>0</v>
      </c>
      <c r="X54" s="324">
        <v>0</v>
      </c>
      <c r="Y54" s="312">
        <v>206870</v>
      </c>
      <c r="Z54" s="325">
        <v>206870</v>
      </c>
      <c r="AA54" s="325">
        <v>0</v>
      </c>
      <c r="AB54" s="326"/>
      <c r="AC54" s="324" t="s">
        <v>602</v>
      </c>
      <c r="AD54" s="324" t="s">
        <v>602</v>
      </c>
      <c r="AE54" s="324" t="s">
        <v>602</v>
      </c>
      <c r="AF54" s="324" t="s">
        <v>602</v>
      </c>
      <c r="AG54" s="324" t="s">
        <v>602</v>
      </c>
      <c r="AH54" s="324"/>
      <c r="AI54" s="312">
        <v>0</v>
      </c>
      <c r="AJ54" s="327">
        <v>0</v>
      </c>
      <c r="AK54" s="327">
        <v>0</v>
      </c>
      <c r="AL54" s="328"/>
      <c r="AM54" s="324">
        <v>0</v>
      </c>
      <c r="AN54" s="324">
        <v>0</v>
      </c>
      <c r="AO54" s="324">
        <v>0</v>
      </c>
      <c r="AP54" s="324">
        <v>0</v>
      </c>
      <c r="AQ54" s="324">
        <v>0</v>
      </c>
      <c r="AR54" s="324">
        <v>0</v>
      </c>
      <c r="AS54" s="293">
        <v>0</v>
      </c>
      <c r="AT54" s="327">
        <v>0</v>
      </c>
      <c r="AU54" s="327">
        <v>0</v>
      </c>
      <c r="AV54" s="328"/>
      <c r="AW54" s="324" t="s">
        <v>602</v>
      </c>
      <c r="AX54" s="324" t="s">
        <v>602</v>
      </c>
      <c r="AY54" s="324" t="s">
        <v>602</v>
      </c>
      <c r="AZ54" s="324" t="s">
        <v>602</v>
      </c>
      <c r="BA54" s="324"/>
      <c r="BB54" s="324" t="s">
        <v>602</v>
      </c>
      <c r="BC54" s="293">
        <v>0</v>
      </c>
      <c r="BD54" s="319"/>
      <c r="BE54" s="293"/>
      <c r="BF54" s="319"/>
      <c r="BG54" s="293"/>
      <c r="BH54" s="293"/>
      <c r="BI54" s="337">
        <v>206870</v>
      </c>
      <c r="BJ54" s="338">
        <v>0</v>
      </c>
      <c r="BK54" s="124" t="s">
        <v>781</v>
      </c>
    </row>
    <row r="55" spans="1:63" ht="15.75">
      <c r="A55" s="314">
        <v>507777</v>
      </c>
      <c r="B55" s="124" t="s">
        <v>777</v>
      </c>
      <c r="C55" s="124" t="s">
        <v>189</v>
      </c>
      <c r="D55" s="126">
        <v>203628</v>
      </c>
      <c r="E55" s="124" t="s">
        <v>778</v>
      </c>
      <c r="F55" s="124" t="s">
        <v>779</v>
      </c>
      <c r="G55" s="127" t="s">
        <v>53</v>
      </c>
      <c r="H55" s="126" t="s">
        <v>597</v>
      </c>
      <c r="I55" s="126" t="s">
        <v>598</v>
      </c>
      <c r="J55" s="126" t="s">
        <v>683</v>
      </c>
      <c r="K55" s="128" t="s">
        <v>684</v>
      </c>
      <c r="L55" s="121" t="s">
        <v>519</v>
      </c>
      <c r="M55" s="123" t="s">
        <v>769</v>
      </c>
      <c r="N55" s="129">
        <v>43709</v>
      </c>
      <c r="O55" s="129">
        <v>44895</v>
      </c>
      <c r="P55" s="129">
        <v>44895</v>
      </c>
      <c r="Q55" s="323">
        <v>604590</v>
      </c>
      <c r="R55" s="319"/>
      <c r="S55" s="324">
        <v>91440</v>
      </c>
      <c r="T55" s="324">
        <v>0</v>
      </c>
      <c r="U55" s="324">
        <v>102240</v>
      </c>
      <c r="V55" s="324">
        <v>2000</v>
      </c>
      <c r="W55" s="324">
        <v>3600</v>
      </c>
      <c r="X55" s="324">
        <v>2250</v>
      </c>
      <c r="Y55" s="312">
        <v>201530</v>
      </c>
      <c r="Z55" s="325">
        <v>201530</v>
      </c>
      <c r="AA55" s="325">
        <v>0</v>
      </c>
      <c r="AB55" s="326"/>
      <c r="AC55" s="324">
        <v>91440</v>
      </c>
      <c r="AD55" s="324">
        <v>0</v>
      </c>
      <c r="AE55" s="324">
        <v>102240</v>
      </c>
      <c r="AF55" s="324">
        <v>2000</v>
      </c>
      <c r="AG55" s="324">
        <v>3600</v>
      </c>
      <c r="AH55" s="324">
        <v>2250</v>
      </c>
      <c r="AI55" s="312">
        <v>201530</v>
      </c>
      <c r="AJ55" s="327">
        <v>201530</v>
      </c>
      <c r="AK55" s="327">
        <v>0</v>
      </c>
      <c r="AL55" s="328"/>
      <c r="AM55" s="324">
        <v>91440</v>
      </c>
      <c r="AN55" s="324">
        <v>0</v>
      </c>
      <c r="AO55" s="324">
        <v>102240</v>
      </c>
      <c r="AP55" s="324">
        <v>2000</v>
      </c>
      <c r="AQ55" s="324">
        <v>3600</v>
      </c>
      <c r="AR55" s="324">
        <v>2250</v>
      </c>
      <c r="AS55" s="293">
        <v>201530</v>
      </c>
      <c r="AT55" s="327">
        <v>201530</v>
      </c>
      <c r="AU55" s="327">
        <v>0</v>
      </c>
      <c r="AV55" s="328"/>
      <c r="AW55" s="279"/>
      <c r="AX55" s="279"/>
      <c r="AY55" s="279"/>
      <c r="AZ55" s="279"/>
      <c r="BA55" s="279"/>
      <c r="BB55" s="279"/>
      <c r="BC55" s="293"/>
      <c r="BD55" s="319"/>
      <c r="BE55" s="293"/>
      <c r="BF55" s="319"/>
      <c r="BG55" s="293"/>
      <c r="BH55" s="293"/>
      <c r="BI55" s="337">
        <v>604590</v>
      </c>
      <c r="BJ55" s="338">
        <v>0</v>
      </c>
      <c r="BK55" s="126"/>
    </row>
    <row r="56" spans="1:63" ht="15.75">
      <c r="A56" s="314">
        <v>512736</v>
      </c>
      <c r="B56" s="124" t="s">
        <v>777</v>
      </c>
      <c r="C56" s="124" t="s">
        <v>189</v>
      </c>
      <c r="D56" s="126">
        <v>203628</v>
      </c>
      <c r="E56" s="124" t="s">
        <v>778</v>
      </c>
      <c r="F56" s="124" t="s">
        <v>779</v>
      </c>
      <c r="G56" s="127" t="s">
        <v>53</v>
      </c>
      <c r="H56" s="126" t="s">
        <v>597</v>
      </c>
      <c r="I56" s="126" t="s">
        <v>598</v>
      </c>
      <c r="J56" s="126" t="s">
        <v>683</v>
      </c>
      <c r="K56" s="128" t="s">
        <v>684</v>
      </c>
      <c r="L56" s="121" t="s">
        <v>685</v>
      </c>
      <c r="M56" s="123" t="s">
        <v>761</v>
      </c>
      <c r="N56" s="129">
        <v>44409</v>
      </c>
      <c r="O56" s="129">
        <v>44773</v>
      </c>
      <c r="P56" s="129">
        <v>44773</v>
      </c>
      <c r="Q56" s="323">
        <v>170230</v>
      </c>
      <c r="R56" s="319"/>
      <c r="S56" s="324">
        <v>10000</v>
      </c>
      <c r="T56" s="324"/>
      <c r="U56" s="324">
        <v>160230</v>
      </c>
      <c r="V56" s="324"/>
      <c r="W56" s="324"/>
      <c r="X56" s="324"/>
      <c r="Y56" s="312">
        <v>170230</v>
      </c>
      <c r="Z56" s="325">
        <v>170230</v>
      </c>
      <c r="AA56" s="325">
        <v>0</v>
      </c>
      <c r="AB56" s="326"/>
      <c r="AC56" s="324"/>
      <c r="AD56" s="324"/>
      <c r="AE56" s="324"/>
      <c r="AF56" s="324"/>
      <c r="AG56" s="324"/>
      <c r="AH56" s="324"/>
      <c r="AI56" s="312"/>
      <c r="AJ56" s="327"/>
      <c r="AK56" s="327"/>
      <c r="AL56" s="328"/>
      <c r="AM56" s="324"/>
      <c r="AN56" s="324"/>
      <c r="AO56" s="324"/>
      <c r="AP56" s="324"/>
      <c r="AQ56" s="324"/>
      <c r="AR56" s="324"/>
      <c r="AS56" s="293"/>
      <c r="AT56" s="327"/>
      <c r="AU56" s="327"/>
      <c r="AV56" s="328"/>
      <c r="AW56" s="279"/>
      <c r="AX56" s="279"/>
      <c r="AY56" s="279"/>
      <c r="AZ56" s="279"/>
      <c r="BA56" s="279"/>
      <c r="BB56" s="279"/>
      <c r="BC56" s="293"/>
      <c r="BD56" s="319"/>
      <c r="BE56" s="293"/>
      <c r="BF56" s="319"/>
      <c r="BG56" s="293"/>
      <c r="BH56" s="293"/>
      <c r="BI56" s="337">
        <v>170230</v>
      </c>
      <c r="BJ56" s="338">
        <v>0</v>
      </c>
      <c r="BK56" s="126"/>
    </row>
    <row r="57" spans="1:63" ht="15.75">
      <c r="A57" s="314">
        <v>500484</v>
      </c>
      <c r="B57" s="125" t="s">
        <v>782</v>
      </c>
      <c r="C57" s="124" t="s">
        <v>783</v>
      </c>
      <c r="D57" s="126">
        <v>203718</v>
      </c>
      <c r="E57" s="124" t="s">
        <v>784</v>
      </c>
      <c r="F57" s="124" t="s">
        <v>785</v>
      </c>
      <c r="G57" s="127" t="s">
        <v>46</v>
      </c>
      <c r="H57" s="126" t="s">
        <v>597</v>
      </c>
      <c r="I57" s="123" t="s">
        <v>703</v>
      </c>
      <c r="J57" s="126" t="s">
        <v>704</v>
      </c>
      <c r="K57" s="128" t="s">
        <v>705</v>
      </c>
      <c r="L57" s="121" t="s">
        <v>637</v>
      </c>
      <c r="M57" s="123" t="s">
        <v>638</v>
      </c>
      <c r="N57" s="129">
        <v>43124</v>
      </c>
      <c r="O57" s="129">
        <v>42643</v>
      </c>
      <c r="P57" s="129">
        <v>42668</v>
      </c>
      <c r="Q57" s="323">
        <v>25000</v>
      </c>
      <c r="R57" s="324">
        <v>25000</v>
      </c>
      <c r="S57" s="324"/>
      <c r="T57" s="324">
        <v>0</v>
      </c>
      <c r="U57" s="324">
        <v>0</v>
      </c>
      <c r="V57" s="324"/>
      <c r="W57" s="324">
        <v>0</v>
      </c>
      <c r="X57" s="324">
        <v>0</v>
      </c>
      <c r="Y57" s="312">
        <v>25000</v>
      </c>
      <c r="Z57" s="325">
        <v>25000</v>
      </c>
      <c r="AA57" s="325">
        <v>0</v>
      </c>
      <c r="AB57" s="326"/>
      <c r="AC57" s="324" t="s">
        <v>602</v>
      </c>
      <c r="AD57" s="324" t="s">
        <v>602</v>
      </c>
      <c r="AE57" s="324" t="s">
        <v>602</v>
      </c>
      <c r="AF57" s="324" t="s">
        <v>602</v>
      </c>
      <c r="AG57" s="324" t="s">
        <v>602</v>
      </c>
      <c r="AH57" s="324"/>
      <c r="AI57" s="312">
        <v>0</v>
      </c>
      <c r="AJ57" s="327">
        <v>0</v>
      </c>
      <c r="AK57" s="327">
        <v>0</v>
      </c>
      <c r="AL57" s="328"/>
      <c r="AM57" s="324">
        <v>0</v>
      </c>
      <c r="AN57" s="324">
        <v>0</v>
      </c>
      <c r="AO57" s="324">
        <v>0</v>
      </c>
      <c r="AP57" s="324">
        <v>0</v>
      </c>
      <c r="AQ57" s="324">
        <v>0</v>
      </c>
      <c r="AR57" s="324">
        <v>0</v>
      </c>
      <c r="AS57" s="293">
        <v>0</v>
      </c>
      <c r="AT57" s="327">
        <v>0</v>
      </c>
      <c r="AU57" s="327">
        <v>0</v>
      </c>
      <c r="AV57" s="328"/>
      <c r="AW57" s="324" t="s">
        <v>602</v>
      </c>
      <c r="AX57" s="324" t="s">
        <v>602</v>
      </c>
      <c r="AY57" s="324" t="s">
        <v>602</v>
      </c>
      <c r="AZ57" s="324" t="s">
        <v>602</v>
      </c>
      <c r="BA57" s="324"/>
      <c r="BB57" s="324" t="s">
        <v>602</v>
      </c>
      <c r="BC57" s="293"/>
      <c r="BD57" s="319"/>
      <c r="BE57" s="293"/>
      <c r="BF57" s="319"/>
      <c r="BG57" s="293"/>
      <c r="BH57" s="293"/>
      <c r="BI57" s="337">
        <v>25000</v>
      </c>
      <c r="BJ57" s="338">
        <v>0</v>
      </c>
      <c r="BK57" s="126"/>
    </row>
    <row r="58" spans="1:63" ht="15.75">
      <c r="A58" s="314">
        <v>499470</v>
      </c>
      <c r="B58" s="125" t="s">
        <v>786</v>
      </c>
      <c r="C58" s="124" t="s">
        <v>258</v>
      </c>
      <c r="D58" s="126">
        <v>203770</v>
      </c>
      <c r="E58" s="124" t="s">
        <v>787</v>
      </c>
      <c r="F58" s="124" t="s">
        <v>678</v>
      </c>
      <c r="G58" s="127" t="s">
        <v>46</v>
      </c>
      <c r="H58" s="126" t="s">
        <v>597</v>
      </c>
      <c r="I58" s="126" t="s">
        <v>609</v>
      </c>
      <c r="J58" s="126" t="s">
        <v>610</v>
      </c>
      <c r="K58" s="128" t="s">
        <v>611</v>
      </c>
      <c r="L58" s="121" t="s">
        <v>520</v>
      </c>
      <c r="M58" s="123" t="s">
        <v>638</v>
      </c>
      <c r="N58" s="129">
        <v>42248</v>
      </c>
      <c r="O58" s="129">
        <v>43190</v>
      </c>
      <c r="P58" s="129">
        <v>43190</v>
      </c>
      <c r="Q58" s="323">
        <v>475000</v>
      </c>
      <c r="R58" s="319"/>
      <c r="S58" s="324">
        <v>100000</v>
      </c>
      <c r="T58" s="324">
        <v>0</v>
      </c>
      <c r="U58" s="324">
        <v>0</v>
      </c>
      <c r="V58" s="324"/>
      <c r="W58" s="324">
        <v>0</v>
      </c>
      <c r="X58" s="324">
        <v>0</v>
      </c>
      <c r="Y58" s="312">
        <v>100000</v>
      </c>
      <c r="Z58" s="325">
        <v>100000</v>
      </c>
      <c r="AA58" s="325">
        <v>0</v>
      </c>
      <c r="AB58" s="326"/>
      <c r="AC58" s="324">
        <v>300000</v>
      </c>
      <c r="AD58" s="324">
        <v>0</v>
      </c>
      <c r="AE58" s="324">
        <v>0</v>
      </c>
      <c r="AF58" s="324">
        <v>0</v>
      </c>
      <c r="AG58" s="324">
        <v>0</v>
      </c>
      <c r="AH58" s="324"/>
      <c r="AI58" s="312">
        <v>300000</v>
      </c>
      <c r="AJ58" s="327">
        <v>300000</v>
      </c>
      <c r="AK58" s="327">
        <v>0</v>
      </c>
      <c r="AL58" s="328"/>
      <c r="AM58" s="279">
        <v>75000</v>
      </c>
      <c r="AN58" s="279" t="s">
        <v>602</v>
      </c>
      <c r="AO58" s="279" t="s">
        <v>602</v>
      </c>
      <c r="AP58" s="279"/>
      <c r="AQ58" s="279" t="s">
        <v>602</v>
      </c>
      <c r="AR58" s="279" t="s">
        <v>602</v>
      </c>
      <c r="AS58" s="293">
        <v>75000</v>
      </c>
      <c r="AT58" s="327">
        <v>75000</v>
      </c>
      <c r="AU58" s="327">
        <v>0</v>
      </c>
      <c r="AV58" s="328"/>
      <c r="AW58" s="279"/>
      <c r="AX58" s="279"/>
      <c r="AY58" s="279"/>
      <c r="AZ58" s="279"/>
      <c r="BA58" s="279"/>
      <c r="BB58" s="279"/>
      <c r="BC58" s="293"/>
      <c r="BD58" s="319"/>
      <c r="BE58" s="293"/>
      <c r="BF58" s="319"/>
      <c r="BG58" s="293"/>
      <c r="BH58" s="293"/>
      <c r="BI58" s="337">
        <v>475000</v>
      </c>
      <c r="BJ58" s="338">
        <v>0</v>
      </c>
      <c r="BK58" s="126"/>
    </row>
    <row r="59" spans="1:63" ht="15.75">
      <c r="A59" s="314">
        <v>502553</v>
      </c>
      <c r="B59" s="125" t="s">
        <v>786</v>
      </c>
      <c r="C59" s="124" t="s">
        <v>258</v>
      </c>
      <c r="D59" s="126">
        <v>203770</v>
      </c>
      <c r="E59" s="124" t="s">
        <v>787</v>
      </c>
      <c r="F59" s="124" t="s">
        <v>678</v>
      </c>
      <c r="G59" s="127" t="s">
        <v>46</v>
      </c>
      <c r="H59" s="126" t="s">
        <v>597</v>
      </c>
      <c r="I59" s="126" t="s">
        <v>609</v>
      </c>
      <c r="J59" s="126" t="s">
        <v>610</v>
      </c>
      <c r="K59" s="128" t="s">
        <v>611</v>
      </c>
      <c r="L59" s="121" t="s">
        <v>517</v>
      </c>
      <c r="M59" s="123" t="s">
        <v>788</v>
      </c>
      <c r="N59" s="129">
        <v>42826</v>
      </c>
      <c r="O59" s="129">
        <v>43921</v>
      </c>
      <c r="P59" s="129">
        <v>43921</v>
      </c>
      <c r="Q59" s="323">
        <v>150000</v>
      </c>
      <c r="R59" s="319"/>
      <c r="S59" s="324">
        <v>50000</v>
      </c>
      <c r="T59" s="324">
        <v>0</v>
      </c>
      <c r="U59" s="324">
        <v>0</v>
      </c>
      <c r="V59" s="324"/>
      <c r="W59" s="324">
        <v>0</v>
      </c>
      <c r="X59" s="324">
        <v>0</v>
      </c>
      <c r="Y59" s="312">
        <v>50000</v>
      </c>
      <c r="Z59" s="325">
        <v>50000</v>
      </c>
      <c r="AA59" s="325">
        <v>0</v>
      </c>
      <c r="AB59" s="326"/>
      <c r="AC59" s="324">
        <v>50000</v>
      </c>
      <c r="AD59" s="324">
        <v>0</v>
      </c>
      <c r="AE59" s="324">
        <v>0</v>
      </c>
      <c r="AF59" s="324">
        <v>0</v>
      </c>
      <c r="AG59" s="324">
        <v>0</v>
      </c>
      <c r="AH59" s="324"/>
      <c r="AI59" s="312">
        <v>50000</v>
      </c>
      <c r="AJ59" s="327">
        <v>50000</v>
      </c>
      <c r="AK59" s="327">
        <v>0</v>
      </c>
      <c r="AL59" s="328"/>
      <c r="AM59" s="324">
        <v>50000</v>
      </c>
      <c r="AN59" s="324">
        <v>0</v>
      </c>
      <c r="AO59" s="324">
        <v>0</v>
      </c>
      <c r="AP59" s="324">
        <v>0</v>
      </c>
      <c r="AQ59" s="324">
        <v>0</v>
      </c>
      <c r="AR59" s="279">
        <v>0</v>
      </c>
      <c r="AS59" s="293">
        <v>50000</v>
      </c>
      <c r="AT59" s="327">
        <v>50000</v>
      </c>
      <c r="AU59" s="327">
        <v>0</v>
      </c>
      <c r="AV59" s="328"/>
      <c r="AW59" s="279" t="s">
        <v>602</v>
      </c>
      <c r="AX59" s="279" t="s">
        <v>602</v>
      </c>
      <c r="AY59" s="279" t="s">
        <v>602</v>
      </c>
      <c r="AZ59" s="279" t="s">
        <v>602</v>
      </c>
      <c r="BA59" s="279"/>
      <c r="BB59" s="279" t="s">
        <v>602</v>
      </c>
      <c r="BC59" s="293">
        <v>0</v>
      </c>
      <c r="BD59" s="319"/>
      <c r="BE59" s="293"/>
      <c r="BF59" s="319"/>
      <c r="BG59" s="293"/>
      <c r="BH59" s="293"/>
      <c r="BI59" s="337">
        <v>150000</v>
      </c>
      <c r="BJ59" s="338">
        <v>0</v>
      </c>
      <c r="BK59" s="126" t="s">
        <v>789</v>
      </c>
    </row>
    <row r="60" spans="1:63" ht="15.75">
      <c r="A60" s="314">
        <v>506754</v>
      </c>
      <c r="B60" s="125" t="s">
        <v>786</v>
      </c>
      <c r="C60" s="124" t="s">
        <v>258</v>
      </c>
      <c r="D60" s="126">
        <v>203770</v>
      </c>
      <c r="E60" s="124" t="s">
        <v>787</v>
      </c>
      <c r="F60" s="124" t="s">
        <v>678</v>
      </c>
      <c r="G60" s="127" t="s">
        <v>260</v>
      </c>
      <c r="H60" s="126" t="s">
        <v>628</v>
      </c>
      <c r="I60" s="126" t="s">
        <v>609</v>
      </c>
      <c r="J60" s="126" t="s">
        <v>610</v>
      </c>
      <c r="K60" s="128" t="s">
        <v>611</v>
      </c>
      <c r="L60" s="121" t="s">
        <v>19</v>
      </c>
      <c r="M60" s="123" t="s">
        <v>790</v>
      </c>
      <c r="N60" s="129">
        <v>43556</v>
      </c>
      <c r="O60" s="129">
        <v>43921</v>
      </c>
      <c r="P60" s="129">
        <v>43921</v>
      </c>
      <c r="Q60" s="323">
        <v>37500</v>
      </c>
      <c r="R60" s="319"/>
      <c r="S60" s="324">
        <v>28500</v>
      </c>
      <c r="T60" s="324"/>
      <c r="U60" s="324">
        <v>9000</v>
      </c>
      <c r="V60" s="324">
        <v>0</v>
      </c>
      <c r="W60" s="324">
        <v>0</v>
      </c>
      <c r="X60" s="324">
        <v>0</v>
      </c>
      <c r="Y60" s="312">
        <v>37500</v>
      </c>
      <c r="Z60" s="325">
        <v>37500</v>
      </c>
      <c r="AA60" s="325">
        <v>0</v>
      </c>
      <c r="AB60" s="326"/>
      <c r="AC60" s="324"/>
      <c r="AD60" s="324"/>
      <c r="AE60" s="324"/>
      <c r="AF60" s="324"/>
      <c r="AG60" s="324"/>
      <c r="AH60" s="324"/>
      <c r="AI60" s="312"/>
      <c r="AJ60" s="327">
        <v>0</v>
      </c>
      <c r="AK60" s="327">
        <v>0</v>
      </c>
      <c r="AL60" s="339"/>
      <c r="AM60" s="279"/>
      <c r="AN60" s="279"/>
      <c r="AO60" s="279"/>
      <c r="AP60" s="279"/>
      <c r="AQ60" s="279"/>
      <c r="AR60" s="279"/>
      <c r="AS60" s="293"/>
      <c r="AT60" s="327">
        <v>0</v>
      </c>
      <c r="AU60" s="327">
        <v>0</v>
      </c>
      <c r="AV60" s="328"/>
      <c r="AW60" s="279"/>
      <c r="AX60" s="279"/>
      <c r="AY60" s="279"/>
      <c r="AZ60" s="279"/>
      <c r="BA60" s="279"/>
      <c r="BB60" s="279"/>
      <c r="BC60" s="293"/>
      <c r="BD60" s="319"/>
      <c r="BE60" s="293"/>
      <c r="BF60" s="319"/>
      <c r="BG60" s="293"/>
      <c r="BH60" s="293"/>
      <c r="BI60" s="337">
        <v>37500</v>
      </c>
      <c r="BJ60" s="338">
        <v>0</v>
      </c>
      <c r="BK60" s="126"/>
    </row>
    <row r="61" spans="1:63" ht="15.75">
      <c r="A61" s="314">
        <v>507638</v>
      </c>
      <c r="B61" s="125" t="s">
        <v>786</v>
      </c>
      <c r="C61" s="124" t="s">
        <v>258</v>
      </c>
      <c r="D61" s="126">
        <v>203770</v>
      </c>
      <c r="E61" s="124" t="s">
        <v>787</v>
      </c>
      <c r="F61" s="124" t="s">
        <v>678</v>
      </c>
      <c r="G61" s="127" t="s">
        <v>260</v>
      </c>
      <c r="H61" s="126" t="s">
        <v>628</v>
      </c>
      <c r="I61" s="126" t="s">
        <v>609</v>
      </c>
      <c r="J61" s="126" t="s">
        <v>610</v>
      </c>
      <c r="K61" s="128" t="s">
        <v>611</v>
      </c>
      <c r="L61" s="121" t="s">
        <v>519</v>
      </c>
      <c r="M61" s="123" t="s">
        <v>791</v>
      </c>
      <c r="N61" s="129">
        <v>43709</v>
      </c>
      <c r="O61" s="129">
        <v>44895</v>
      </c>
      <c r="P61" s="129">
        <v>44895</v>
      </c>
      <c r="Q61" s="323">
        <v>80000</v>
      </c>
      <c r="R61" s="319"/>
      <c r="S61" s="324">
        <v>27800</v>
      </c>
      <c r="T61" s="324">
        <v>6700</v>
      </c>
      <c r="U61" s="324">
        <v>4300</v>
      </c>
      <c r="V61" s="324"/>
      <c r="W61" s="324">
        <v>0</v>
      </c>
      <c r="X61" s="324">
        <v>0</v>
      </c>
      <c r="Y61" s="312">
        <v>38800</v>
      </c>
      <c r="Z61" s="325">
        <v>38800</v>
      </c>
      <c r="AA61" s="325">
        <v>0</v>
      </c>
      <c r="AB61" s="326"/>
      <c r="AC61" s="324">
        <v>31250</v>
      </c>
      <c r="AD61" s="324"/>
      <c r="AE61" s="324">
        <v>9950</v>
      </c>
      <c r="AF61" s="324">
        <v>0</v>
      </c>
      <c r="AG61" s="324">
        <v>0</v>
      </c>
      <c r="AH61" s="324">
        <v>0</v>
      </c>
      <c r="AI61" s="312">
        <v>41200</v>
      </c>
      <c r="AJ61" s="327">
        <v>41200</v>
      </c>
      <c r="AK61" s="327">
        <v>0</v>
      </c>
      <c r="AL61" s="328"/>
      <c r="AM61" s="324">
        <v>0</v>
      </c>
      <c r="AN61" s="324">
        <v>0</v>
      </c>
      <c r="AO61" s="324">
        <v>0</v>
      </c>
      <c r="AP61" s="324">
        <v>0</v>
      </c>
      <c r="AQ61" s="324">
        <v>0</v>
      </c>
      <c r="AR61" s="324">
        <v>0</v>
      </c>
      <c r="AS61" s="293">
        <v>0</v>
      </c>
      <c r="AT61" s="327">
        <v>0</v>
      </c>
      <c r="AU61" s="327">
        <v>0</v>
      </c>
      <c r="AV61" s="328"/>
      <c r="AW61" s="279"/>
      <c r="AX61" s="279"/>
      <c r="AY61" s="279"/>
      <c r="AZ61" s="279"/>
      <c r="BA61" s="279"/>
      <c r="BB61" s="279"/>
      <c r="BC61" s="293"/>
      <c r="BD61" s="319"/>
      <c r="BE61" s="293"/>
      <c r="BF61" s="319"/>
      <c r="BG61" s="293"/>
      <c r="BH61" s="293"/>
      <c r="BI61" s="337">
        <v>80000</v>
      </c>
      <c r="BJ61" s="338">
        <v>0</v>
      </c>
      <c r="BK61" s="126"/>
    </row>
    <row r="62" spans="1:63" ht="15.75">
      <c r="A62" s="314">
        <v>501333</v>
      </c>
      <c r="B62" s="125" t="s">
        <v>792</v>
      </c>
      <c r="C62" s="124" t="s">
        <v>106</v>
      </c>
      <c r="D62" s="126">
        <v>203820</v>
      </c>
      <c r="E62" s="124" t="s">
        <v>793</v>
      </c>
      <c r="F62" s="124" t="s">
        <v>794</v>
      </c>
      <c r="G62" s="127" t="s">
        <v>46</v>
      </c>
      <c r="H62" s="126" t="s">
        <v>628</v>
      </c>
      <c r="I62" s="126" t="s">
        <v>598</v>
      </c>
      <c r="J62" s="126" t="s">
        <v>795</v>
      </c>
      <c r="K62" s="128" t="s">
        <v>796</v>
      </c>
      <c r="L62" s="121" t="s">
        <v>515</v>
      </c>
      <c r="M62" s="123" t="s">
        <v>797</v>
      </c>
      <c r="N62" s="129">
        <v>42614</v>
      </c>
      <c r="O62" s="129">
        <v>43830</v>
      </c>
      <c r="P62" s="129">
        <v>44144</v>
      </c>
      <c r="Q62" s="323">
        <v>270000</v>
      </c>
      <c r="R62" s="319"/>
      <c r="S62" s="324">
        <v>64000</v>
      </c>
      <c r="T62" s="324">
        <v>0</v>
      </c>
      <c r="U62" s="324">
        <v>26000</v>
      </c>
      <c r="V62" s="324"/>
      <c r="W62" s="324">
        <v>0</v>
      </c>
      <c r="X62" s="324">
        <v>0</v>
      </c>
      <c r="Y62" s="312">
        <v>90000</v>
      </c>
      <c r="Z62" s="325">
        <v>90000</v>
      </c>
      <c r="AA62" s="325">
        <v>0</v>
      </c>
      <c r="AB62" s="326"/>
      <c r="AC62" s="324">
        <v>64000</v>
      </c>
      <c r="AD62" s="324">
        <v>0</v>
      </c>
      <c r="AE62" s="324">
        <v>26000</v>
      </c>
      <c r="AF62" s="324">
        <v>0</v>
      </c>
      <c r="AG62" s="324">
        <v>0</v>
      </c>
      <c r="AH62" s="324"/>
      <c r="AI62" s="312">
        <v>90000</v>
      </c>
      <c r="AJ62" s="327">
        <v>90000</v>
      </c>
      <c r="AK62" s="327">
        <v>0</v>
      </c>
      <c r="AL62" s="328"/>
      <c r="AM62" s="279">
        <v>74848.83</v>
      </c>
      <c r="AN62" s="279">
        <v>0</v>
      </c>
      <c r="AO62" s="279">
        <v>15151.17</v>
      </c>
      <c r="AP62" s="279"/>
      <c r="AQ62" s="279">
        <v>0</v>
      </c>
      <c r="AR62" s="279">
        <v>0</v>
      </c>
      <c r="AS62" s="293">
        <v>90000</v>
      </c>
      <c r="AT62" s="327">
        <v>90000</v>
      </c>
      <c r="AU62" s="327">
        <v>0</v>
      </c>
      <c r="AV62" s="328"/>
      <c r="AW62" s="279"/>
      <c r="AX62" s="279"/>
      <c r="AY62" s="279"/>
      <c r="AZ62" s="279"/>
      <c r="BA62" s="279"/>
      <c r="BB62" s="279"/>
      <c r="BC62" s="293"/>
      <c r="BD62" s="319"/>
      <c r="BE62" s="293"/>
      <c r="BF62" s="319"/>
      <c r="BG62" s="293"/>
      <c r="BH62" s="293"/>
      <c r="BI62" s="337">
        <v>270000</v>
      </c>
      <c r="BJ62" s="338">
        <v>0</v>
      </c>
      <c r="BK62" s="126"/>
    </row>
    <row r="63" spans="1:63" ht="15.75">
      <c r="A63" s="314">
        <v>501341</v>
      </c>
      <c r="B63" s="125" t="s">
        <v>792</v>
      </c>
      <c r="C63" s="124" t="s">
        <v>106</v>
      </c>
      <c r="D63" s="126">
        <v>203820</v>
      </c>
      <c r="E63" s="124" t="s">
        <v>793</v>
      </c>
      <c r="F63" s="124" t="s">
        <v>794</v>
      </c>
      <c r="G63" s="127" t="s">
        <v>46</v>
      </c>
      <c r="H63" s="126" t="s">
        <v>597</v>
      </c>
      <c r="I63" s="126" t="s">
        <v>598</v>
      </c>
      <c r="J63" s="126" t="s">
        <v>795</v>
      </c>
      <c r="K63" s="128" t="s">
        <v>796</v>
      </c>
      <c r="L63" s="121" t="s">
        <v>515</v>
      </c>
      <c r="M63" s="123" t="s">
        <v>713</v>
      </c>
      <c r="N63" s="129">
        <v>42614</v>
      </c>
      <c r="O63" s="129">
        <v>43708</v>
      </c>
      <c r="P63" s="129">
        <v>44145</v>
      </c>
      <c r="Q63" s="323">
        <v>429276</v>
      </c>
      <c r="R63" s="319"/>
      <c r="S63" s="324">
        <v>75000</v>
      </c>
      <c r="T63" s="347">
        <v>0</v>
      </c>
      <c r="U63" s="324">
        <v>56302</v>
      </c>
      <c r="V63" s="324"/>
      <c r="W63" s="324">
        <v>15974</v>
      </c>
      <c r="X63" s="324">
        <v>0</v>
      </c>
      <c r="Y63" s="312">
        <v>147276</v>
      </c>
      <c r="Z63" s="325">
        <v>147276</v>
      </c>
      <c r="AA63" s="325">
        <v>0</v>
      </c>
      <c r="AB63" s="326"/>
      <c r="AC63" s="324">
        <v>75000</v>
      </c>
      <c r="AD63" s="347">
        <v>0</v>
      </c>
      <c r="AE63" s="324">
        <v>56302</v>
      </c>
      <c r="AF63" s="324"/>
      <c r="AG63" s="324">
        <v>15974</v>
      </c>
      <c r="AH63" s="324"/>
      <c r="AI63" s="312">
        <v>147276</v>
      </c>
      <c r="AJ63" s="327">
        <v>147276</v>
      </c>
      <c r="AK63" s="327">
        <v>0</v>
      </c>
      <c r="AL63" s="328"/>
      <c r="AM63" s="279">
        <v>75000</v>
      </c>
      <c r="AN63" s="279">
        <v>0</v>
      </c>
      <c r="AO63" s="279">
        <v>43750</v>
      </c>
      <c r="AP63" s="279"/>
      <c r="AQ63" s="279">
        <v>15974</v>
      </c>
      <c r="AR63" s="279">
        <v>0</v>
      </c>
      <c r="AS63" s="293">
        <v>134724</v>
      </c>
      <c r="AT63" s="327">
        <v>134724</v>
      </c>
      <c r="AU63" s="327">
        <v>0</v>
      </c>
      <c r="AV63" s="328"/>
      <c r="AW63" s="279"/>
      <c r="AX63" s="279"/>
      <c r="AY63" s="279"/>
      <c r="AZ63" s="279"/>
      <c r="BA63" s="279"/>
      <c r="BB63" s="279"/>
      <c r="BC63" s="293"/>
      <c r="BD63" s="319"/>
      <c r="BE63" s="293"/>
      <c r="BF63" s="319"/>
      <c r="BG63" s="293"/>
      <c r="BH63" s="293"/>
      <c r="BI63" s="337">
        <v>429276</v>
      </c>
      <c r="BJ63" s="338">
        <v>0</v>
      </c>
      <c r="BK63" s="126"/>
    </row>
    <row r="64" spans="1:63" ht="15.75">
      <c r="A64" s="314">
        <v>502560</v>
      </c>
      <c r="B64" s="125" t="s">
        <v>792</v>
      </c>
      <c r="C64" s="124" t="s">
        <v>106</v>
      </c>
      <c r="D64" s="126">
        <v>203820</v>
      </c>
      <c r="E64" s="124" t="s">
        <v>793</v>
      </c>
      <c r="F64" s="124" t="s">
        <v>794</v>
      </c>
      <c r="G64" s="127" t="s">
        <v>46</v>
      </c>
      <c r="H64" s="126" t="s">
        <v>628</v>
      </c>
      <c r="I64" s="126" t="s">
        <v>598</v>
      </c>
      <c r="J64" s="126" t="s">
        <v>795</v>
      </c>
      <c r="K64" s="128" t="s">
        <v>796</v>
      </c>
      <c r="L64" s="121" t="s">
        <v>19</v>
      </c>
      <c r="M64" s="123" t="s">
        <v>798</v>
      </c>
      <c r="N64" s="129">
        <v>42826</v>
      </c>
      <c r="O64" s="129">
        <v>43555</v>
      </c>
      <c r="P64" s="129">
        <v>43555</v>
      </c>
      <c r="Q64" s="323">
        <v>83200</v>
      </c>
      <c r="R64" s="319"/>
      <c r="S64" s="324">
        <v>24500</v>
      </c>
      <c r="T64" s="324">
        <v>0</v>
      </c>
      <c r="U64" s="324">
        <v>17100</v>
      </c>
      <c r="V64" s="324">
        <v>0</v>
      </c>
      <c r="W64" s="324">
        <v>0</v>
      </c>
      <c r="X64" s="324">
        <v>0</v>
      </c>
      <c r="Y64" s="312">
        <v>41600</v>
      </c>
      <c r="Z64" s="325">
        <v>41600</v>
      </c>
      <c r="AA64" s="325">
        <v>0</v>
      </c>
      <c r="AB64" s="326"/>
      <c r="AC64" s="324">
        <v>24500</v>
      </c>
      <c r="AD64" s="324">
        <v>0</v>
      </c>
      <c r="AE64" s="324">
        <v>17100</v>
      </c>
      <c r="AF64" s="324">
        <v>0</v>
      </c>
      <c r="AG64" s="324">
        <v>0</v>
      </c>
      <c r="AH64" s="324"/>
      <c r="AI64" s="312">
        <v>41600</v>
      </c>
      <c r="AJ64" s="327">
        <v>41600</v>
      </c>
      <c r="AK64" s="327">
        <v>0</v>
      </c>
      <c r="AL64" s="339"/>
      <c r="AM64" s="324">
        <v>0</v>
      </c>
      <c r="AN64" s="324">
        <v>0</v>
      </c>
      <c r="AO64" s="324">
        <v>0</v>
      </c>
      <c r="AP64" s="324">
        <v>0</v>
      </c>
      <c r="AQ64" s="324">
        <v>0</v>
      </c>
      <c r="AR64" s="324">
        <v>0</v>
      </c>
      <c r="AS64" s="293">
        <v>0</v>
      </c>
      <c r="AT64" s="327">
        <v>0</v>
      </c>
      <c r="AU64" s="327">
        <v>0</v>
      </c>
      <c r="AV64" s="328"/>
      <c r="AW64" s="279"/>
      <c r="AX64" s="279"/>
      <c r="AY64" s="279"/>
      <c r="AZ64" s="279"/>
      <c r="BA64" s="279"/>
      <c r="BB64" s="279"/>
      <c r="BC64" s="293"/>
      <c r="BD64" s="319"/>
      <c r="BE64" s="293"/>
      <c r="BF64" s="319"/>
      <c r="BG64" s="293"/>
      <c r="BH64" s="293"/>
      <c r="BI64" s="337">
        <v>83200</v>
      </c>
      <c r="BJ64" s="338">
        <v>0</v>
      </c>
      <c r="BK64" s="126"/>
    </row>
    <row r="65" spans="1:63" ht="15.75">
      <c r="A65" s="314">
        <v>504335</v>
      </c>
      <c r="B65" s="125" t="s">
        <v>792</v>
      </c>
      <c r="C65" s="124" t="s">
        <v>106</v>
      </c>
      <c r="D65" s="126">
        <v>203820</v>
      </c>
      <c r="E65" s="124" t="s">
        <v>793</v>
      </c>
      <c r="F65" s="124" t="s">
        <v>794</v>
      </c>
      <c r="G65" s="127" t="s">
        <v>46</v>
      </c>
      <c r="H65" s="126" t="s">
        <v>628</v>
      </c>
      <c r="I65" s="126" t="s">
        <v>598</v>
      </c>
      <c r="J65" s="126" t="s">
        <v>795</v>
      </c>
      <c r="K65" s="128" t="s">
        <v>796</v>
      </c>
      <c r="L65" s="121" t="s">
        <v>19</v>
      </c>
      <c r="M65" s="123" t="s">
        <v>799</v>
      </c>
      <c r="N65" s="129">
        <v>43191</v>
      </c>
      <c r="O65" s="129">
        <v>44044</v>
      </c>
      <c r="P65" s="129">
        <v>44149</v>
      </c>
      <c r="Q65" s="323">
        <v>83718</v>
      </c>
      <c r="R65" s="319"/>
      <c r="S65" s="324">
        <v>24625</v>
      </c>
      <c r="T65" s="324">
        <v>0</v>
      </c>
      <c r="U65" s="324">
        <v>7910</v>
      </c>
      <c r="V65" s="324">
        <v>0</v>
      </c>
      <c r="W65" s="324">
        <v>9324</v>
      </c>
      <c r="X65" s="324">
        <v>0</v>
      </c>
      <c r="Y65" s="312">
        <v>41859</v>
      </c>
      <c r="Z65" s="325">
        <v>41859</v>
      </c>
      <c r="AA65" s="325">
        <v>0</v>
      </c>
      <c r="AB65" s="326"/>
      <c r="AC65" s="324">
        <v>24625</v>
      </c>
      <c r="AD65" s="324">
        <v>0</v>
      </c>
      <c r="AE65" s="324">
        <v>7910</v>
      </c>
      <c r="AF65" s="324">
        <v>0</v>
      </c>
      <c r="AG65" s="324">
        <v>9324</v>
      </c>
      <c r="AH65" s="324"/>
      <c r="AI65" s="312">
        <v>41859</v>
      </c>
      <c r="AJ65" s="327">
        <v>41859</v>
      </c>
      <c r="AK65" s="327">
        <v>0</v>
      </c>
      <c r="AL65" s="339"/>
      <c r="AM65" s="324">
        <v>0</v>
      </c>
      <c r="AN65" s="324">
        <v>0</v>
      </c>
      <c r="AO65" s="324">
        <v>0</v>
      </c>
      <c r="AP65" s="324">
        <v>0</v>
      </c>
      <c r="AQ65" s="324">
        <v>0</v>
      </c>
      <c r="AR65" s="324">
        <v>0</v>
      </c>
      <c r="AS65" s="293">
        <v>0</v>
      </c>
      <c r="AT65" s="327">
        <v>0</v>
      </c>
      <c r="AU65" s="327">
        <v>0</v>
      </c>
      <c r="AV65" s="328"/>
      <c r="AW65" s="279"/>
      <c r="AX65" s="279"/>
      <c r="AY65" s="279"/>
      <c r="AZ65" s="279"/>
      <c r="BA65" s="279"/>
      <c r="BB65" s="279"/>
      <c r="BC65" s="293"/>
      <c r="BD65" s="319"/>
      <c r="BE65" s="293"/>
      <c r="BF65" s="319"/>
      <c r="BG65" s="293"/>
      <c r="BH65" s="293"/>
      <c r="BI65" s="337">
        <v>83718</v>
      </c>
      <c r="BJ65" s="338">
        <v>0</v>
      </c>
      <c r="BK65" s="126"/>
    </row>
    <row r="66" spans="1:63" ht="15.75">
      <c r="A66" s="314">
        <v>506449</v>
      </c>
      <c r="B66" s="125" t="s">
        <v>792</v>
      </c>
      <c r="C66" s="124" t="s">
        <v>106</v>
      </c>
      <c r="D66" s="126">
        <v>203820</v>
      </c>
      <c r="E66" s="124" t="s">
        <v>793</v>
      </c>
      <c r="F66" s="124" t="s">
        <v>794</v>
      </c>
      <c r="G66" s="127" t="s">
        <v>46</v>
      </c>
      <c r="H66" s="126" t="s">
        <v>597</v>
      </c>
      <c r="I66" s="126" t="s">
        <v>598</v>
      </c>
      <c r="J66" s="126" t="s">
        <v>795</v>
      </c>
      <c r="K66" s="128" t="s">
        <v>796</v>
      </c>
      <c r="L66" s="121" t="s">
        <v>517</v>
      </c>
      <c r="M66" s="123" t="s">
        <v>800</v>
      </c>
      <c r="N66" s="129">
        <v>43556</v>
      </c>
      <c r="O66" s="129">
        <v>44286</v>
      </c>
      <c r="P66" s="129">
        <v>44286</v>
      </c>
      <c r="Q66" s="323">
        <v>100000</v>
      </c>
      <c r="R66" s="319"/>
      <c r="S66" s="324">
        <v>50000</v>
      </c>
      <c r="T66" s="324"/>
      <c r="U66" s="324"/>
      <c r="V66" s="324"/>
      <c r="W66" s="324"/>
      <c r="X66" s="324"/>
      <c r="Y66" s="312">
        <v>50000</v>
      </c>
      <c r="Z66" s="325">
        <v>50000</v>
      </c>
      <c r="AA66" s="325">
        <v>0</v>
      </c>
      <c r="AB66" s="326"/>
      <c r="AC66" s="324">
        <v>50000</v>
      </c>
      <c r="AD66" s="324"/>
      <c r="AE66" s="324"/>
      <c r="AF66" s="324"/>
      <c r="AG66" s="324"/>
      <c r="AH66" s="324"/>
      <c r="AI66" s="312">
        <v>50000</v>
      </c>
      <c r="AJ66" s="327">
        <v>50000</v>
      </c>
      <c r="AK66" s="327">
        <v>0</v>
      </c>
      <c r="AL66" s="328"/>
      <c r="AM66" s="279"/>
      <c r="AN66" s="279"/>
      <c r="AO66" s="279"/>
      <c r="AP66" s="279"/>
      <c r="AQ66" s="279"/>
      <c r="AR66" s="279"/>
      <c r="AS66" s="293"/>
      <c r="AT66" s="327">
        <v>0</v>
      </c>
      <c r="AU66" s="327">
        <v>0</v>
      </c>
      <c r="AV66" s="328"/>
      <c r="AW66" s="279"/>
      <c r="AX66" s="279"/>
      <c r="AY66" s="279"/>
      <c r="AZ66" s="279"/>
      <c r="BA66" s="279"/>
      <c r="BB66" s="279"/>
      <c r="BC66" s="293"/>
      <c r="BD66" s="319"/>
      <c r="BE66" s="293"/>
      <c r="BF66" s="319"/>
      <c r="BG66" s="293"/>
      <c r="BH66" s="293"/>
      <c r="BI66" s="337">
        <v>100000</v>
      </c>
      <c r="BJ66" s="338">
        <v>0</v>
      </c>
      <c r="BK66" s="126"/>
    </row>
    <row r="67" spans="1:63" ht="15.75">
      <c r="A67" s="314">
        <v>507638</v>
      </c>
      <c r="B67" s="125" t="s">
        <v>792</v>
      </c>
      <c r="C67" s="124" t="s">
        <v>106</v>
      </c>
      <c r="D67" s="126">
        <v>203820</v>
      </c>
      <c r="E67" s="124" t="s">
        <v>793</v>
      </c>
      <c r="F67" s="124" t="s">
        <v>794</v>
      </c>
      <c r="G67" s="127" t="s">
        <v>46</v>
      </c>
      <c r="H67" s="126" t="s">
        <v>628</v>
      </c>
      <c r="I67" s="126" t="s">
        <v>598</v>
      </c>
      <c r="J67" s="126" t="s">
        <v>795</v>
      </c>
      <c r="K67" s="128" t="s">
        <v>796</v>
      </c>
      <c r="L67" s="121" t="s">
        <v>519</v>
      </c>
      <c r="M67" s="123" t="s">
        <v>791</v>
      </c>
      <c r="N67" s="129">
        <v>43709</v>
      </c>
      <c r="O67" s="129">
        <v>44895</v>
      </c>
      <c r="P67" s="129">
        <v>44895</v>
      </c>
      <c r="Q67" s="323">
        <v>130000</v>
      </c>
      <c r="R67" s="319"/>
      <c r="S67" s="324">
        <v>22000</v>
      </c>
      <c r="T67" s="324"/>
      <c r="U67" s="324">
        <v>5000</v>
      </c>
      <c r="V67" s="324"/>
      <c r="W67" s="324">
        <v>3000</v>
      </c>
      <c r="X67" s="324"/>
      <c r="Y67" s="312">
        <v>30000</v>
      </c>
      <c r="Z67" s="325">
        <v>30000</v>
      </c>
      <c r="AA67" s="325">
        <v>0</v>
      </c>
      <c r="AB67" s="326"/>
      <c r="AC67" s="324">
        <v>22000</v>
      </c>
      <c r="AD67" s="324"/>
      <c r="AE67" s="324">
        <v>5000</v>
      </c>
      <c r="AF67" s="324"/>
      <c r="AG67" s="324">
        <v>3000</v>
      </c>
      <c r="AH67" s="324"/>
      <c r="AI67" s="312">
        <v>30000</v>
      </c>
      <c r="AJ67" s="327">
        <v>30000</v>
      </c>
      <c r="AK67" s="327">
        <v>0</v>
      </c>
      <c r="AL67" s="328"/>
      <c r="AM67" s="324">
        <v>49500</v>
      </c>
      <c r="AN67" s="324">
        <v>0</v>
      </c>
      <c r="AO67" s="324">
        <v>12000</v>
      </c>
      <c r="AP67" s="324"/>
      <c r="AQ67" s="324">
        <v>8500</v>
      </c>
      <c r="AR67" s="324"/>
      <c r="AS67" s="293">
        <v>70000</v>
      </c>
      <c r="AT67" s="327">
        <v>70000</v>
      </c>
      <c r="AU67" s="327">
        <v>0</v>
      </c>
      <c r="AV67" s="328"/>
      <c r="AW67" s="279"/>
      <c r="AX67" s="279"/>
      <c r="AY67" s="279"/>
      <c r="AZ67" s="279"/>
      <c r="BA67" s="279"/>
      <c r="BB67" s="279"/>
      <c r="BC67" s="293"/>
      <c r="BD67" s="319"/>
      <c r="BE67" s="293"/>
      <c r="BF67" s="319"/>
      <c r="BG67" s="293"/>
      <c r="BH67" s="293"/>
      <c r="BI67" s="337">
        <v>130000</v>
      </c>
      <c r="BJ67" s="338">
        <v>0</v>
      </c>
      <c r="BK67" s="126"/>
    </row>
    <row r="68" spans="1:63" ht="15.75">
      <c r="A68" s="314">
        <v>507641</v>
      </c>
      <c r="B68" s="125" t="s">
        <v>792</v>
      </c>
      <c r="C68" s="124" t="s">
        <v>106</v>
      </c>
      <c r="D68" s="126">
        <v>203820</v>
      </c>
      <c r="E68" s="124" t="s">
        <v>793</v>
      </c>
      <c r="F68" s="124" t="s">
        <v>794</v>
      </c>
      <c r="G68" s="127" t="s">
        <v>46</v>
      </c>
      <c r="H68" s="126" t="s">
        <v>597</v>
      </c>
      <c r="I68" s="126" t="s">
        <v>598</v>
      </c>
      <c r="J68" s="126" t="s">
        <v>795</v>
      </c>
      <c r="K68" s="341" t="s">
        <v>801</v>
      </c>
      <c r="L68" s="121" t="s">
        <v>519</v>
      </c>
      <c r="M68" s="123" t="s">
        <v>755</v>
      </c>
      <c r="N68" s="129">
        <v>43709</v>
      </c>
      <c r="O68" s="129">
        <v>44895</v>
      </c>
      <c r="P68" s="129">
        <v>44895</v>
      </c>
      <c r="Q68" s="323">
        <v>320379</v>
      </c>
      <c r="R68" s="319"/>
      <c r="S68" s="324">
        <v>76415</v>
      </c>
      <c r="T68" s="324"/>
      <c r="U68" s="324">
        <v>20000</v>
      </c>
      <c r="V68" s="324"/>
      <c r="W68" s="324">
        <v>10000</v>
      </c>
      <c r="X68" s="324"/>
      <c r="Y68" s="312">
        <v>106415</v>
      </c>
      <c r="Z68" s="325">
        <v>106415</v>
      </c>
      <c r="AA68" s="325">
        <v>0</v>
      </c>
      <c r="AB68" s="326"/>
      <c r="AC68" s="324">
        <v>76595</v>
      </c>
      <c r="AD68" s="324"/>
      <c r="AE68" s="324">
        <v>20000</v>
      </c>
      <c r="AF68" s="324"/>
      <c r="AG68" s="324">
        <v>10000</v>
      </c>
      <c r="AH68" s="324"/>
      <c r="AI68" s="312">
        <v>106595</v>
      </c>
      <c r="AJ68" s="327">
        <v>106595</v>
      </c>
      <c r="AK68" s="327">
        <v>0</v>
      </c>
      <c r="AL68" s="328"/>
      <c r="AM68" s="324">
        <v>77369</v>
      </c>
      <c r="AN68" s="324"/>
      <c r="AO68" s="324">
        <v>20000</v>
      </c>
      <c r="AP68" s="324"/>
      <c r="AQ68" s="324">
        <v>10000</v>
      </c>
      <c r="AR68" s="279"/>
      <c r="AS68" s="293">
        <v>107369</v>
      </c>
      <c r="AT68" s="327">
        <v>107369</v>
      </c>
      <c r="AU68" s="327">
        <v>0</v>
      </c>
      <c r="AV68" s="328"/>
      <c r="AW68" s="279"/>
      <c r="AX68" s="279"/>
      <c r="AY68" s="279"/>
      <c r="AZ68" s="279"/>
      <c r="BA68" s="279"/>
      <c r="BB68" s="279"/>
      <c r="BC68" s="293"/>
      <c r="BD68" s="319"/>
      <c r="BE68" s="293"/>
      <c r="BF68" s="319"/>
      <c r="BG68" s="293"/>
      <c r="BH68" s="293"/>
      <c r="BI68" s="337">
        <v>320379</v>
      </c>
      <c r="BJ68" s="338">
        <v>0</v>
      </c>
      <c r="BK68" s="126"/>
    </row>
    <row r="69" spans="1:63" ht="15.75">
      <c r="A69" s="382">
        <v>512724</v>
      </c>
      <c r="B69" s="125" t="s">
        <v>792</v>
      </c>
      <c r="C69" s="124" t="s">
        <v>106</v>
      </c>
      <c r="D69" s="126">
        <v>203820</v>
      </c>
      <c r="E69" s="124" t="s">
        <v>793</v>
      </c>
      <c r="F69" s="124" t="s">
        <v>794</v>
      </c>
      <c r="G69" s="127" t="s">
        <v>46</v>
      </c>
      <c r="H69" s="126" t="s">
        <v>597</v>
      </c>
      <c r="I69" s="126" t="s">
        <v>598</v>
      </c>
      <c r="J69" s="126" t="s">
        <v>795</v>
      </c>
      <c r="K69" s="169" t="s">
        <v>801</v>
      </c>
      <c r="L69" s="121" t="s">
        <v>685</v>
      </c>
      <c r="M69" s="123" t="s">
        <v>802</v>
      </c>
      <c r="N69" s="129">
        <v>44409</v>
      </c>
      <c r="O69" s="129">
        <v>44957</v>
      </c>
      <c r="P69" s="129">
        <v>44957</v>
      </c>
      <c r="Q69" s="323">
        <v>93000</v>
      </c>
      <c r="R69" s="319"/>
      <c r="S69" s="324">
        <v>41500</v>
      </c>
      <c r="T69" s="324">
        <v>0</v>
      </c>
      <c r="U69" s="324">
        <v>26500</v>
      </c>
      <c r="V69" s="324">
        <v>0</v>
      </c>
      <c r="W69" s="324">
        <v>5000</v>
      </c>
      <c r="X69" s="324">
        <v>20000</v>
      </c>
      <c r="Y69" s="312">
        <v>93000</v>
      </c>
      <c r="Z69" s="325">
        <v>93000</v>
      </c>
      <c r="AA69" s="325">
        <v>0</v>
      </c>
      <c r="AB69" s="326"/>
      <c r="AC69" s="324">
        <v>27000</v>
      </c>
      <c r="AD69" s="324">
        <v>0</v>
      </c>
      <c r="AE69" s="324">
        <v>15000</v>
      </c>
      <c r="AF69" s="324">
        <v>0</v>
      </c>
      <c r="AG69" s="324">
        <v>5000</v>
      </c>
      <c r="AH69" s="324">
        <v>0</v>
      </c>
      <c r="AI69" s="312">
        <v>47000</v>
      </c>
      <c r="AJ69" s="327">
        <v>47000</v>
      </c>
      <c r="AK69" s="327">
        <v>0</v>
      </c>
      <c r="AL69" s="328"/>
      <c r="AM69" s="279"/>
      <c r="AN69" s="279"/>
      <c r="AO69" s="279"/>
      <c r="AP69" s="279"/>
      <c r="AQ69" s="279"/>
      <c r="AR69" s="279"/>
      <c r="AS69" s="293"/>
      <c r="AT69" s="327"/>
      <c r="AU69" s="327"/>
      <c r="AV69" s="328"/>
      <c r="AW69" s="279"/>
      <c r="AX69" s="279"/>
      <c r="AY69" s="279"/>
      <c r="AZ69" s="279"/>
      <c r="BA69" s="279"/>
      <c r="BB69" s="279"/>
      <c r="BC69" s="293"/>
      <c r="BD69" s="319"/>
      <c r="BE69" s="293"/>
      <c r="BF69" s="319"/>
      <c r="BG69" s="293"/>
      <c r="BH69" s="293"/>
      <c r="BI69" s="337">
        <v>140000</v>
      </c>
      <c r="BJ69" s="338">
        <v>47000</v>
      </c>
      <c r="BK69" s="126"/>
    </row>
    <row r="70" spans="1:63" ht="15.75">
      <c r="A70" s="314">
        <v>499953</v>
      </c>
      <c r="B70" s="125" t="s">
        <v>803</v>
      </c>
      <c r="C70" s="124" t="s">
        <v>804</v>
      </c>
      <c r="D70" s="126">
        <v>203832</v>
      </c>
      <c r="E70" s="121" t="s">
        <v>805</v>
      </c>
      <c r="F70" s="121" t="s">
        <v>806</v>
      </c>
      <c r="G70" s="127" t="s">
        <v>46</v>
      </c>
      <c r="H70" s="149" t="s">
        <v>597</v>
      </c>
      <c r="I70" s="126" t="s">
        <v>609</v>
      </c>
      <c r="J70" s="126" t="s">
        <v>807</v>
      </c>
      <c r="K70" s="128" t="s">
        <v>808</v>
      </c>
      <c r="L70" s="121" t="s">
        <v>637</v>
      </c>
      <c r="M70" s="123" t="s">
        <v>638</v>
      </c>
      <c r="N70" s="129">
        <v>42248</v>
      </c>
      <c r="O70" s="129">
        <v>42643</v>
      </c>
      <c r="P70" s="129">
        <v>42668</v>
      </c>
      <c r="Q70" s="330">
        <v>15000</v>
      </c>
      <c r="R70" s="324">
        <v>15000</v>
      </c>
      <c r="S70" s="324"/>
      <c r="T70" s="324">
        <v>0</v>
      </c>
      <c r="U70" s="324">
        <v>0</v>
      </c>
      <c r="V70" s="324"/>
      <c r="W70" s="324">
        <v>0</v>
      </c>
      <c r="X70" s="324">
        <v>0</v>
      </c>
      <c r="Y70" s="312">
        <v>15000</v>
      </c>
      <c r="Z70" s="325">
        <v>15000</v>
      </c>
      <c r="AA70" s="325">
        <v>0</v>
      </c>
      <c r="AB70" s="326"/>
      <c r="AC70" s="324" t="s">
        <v>602</v>
      </c>
      <c r="AD70" s="324" t="s">
        <v>602</v>
      </c>
      <c r="AE70" s="324" t="s">
        <v>602</v>
      </c>
      <c r="AF70" s="324" t="s">
        <v>602</v>
      </c>
      <c r="AG70" s="324" t="s">
        <v>602</v>
      </c>
      <c r="AH70" s="324"/>
      <c r="AI70" s="312">
        <v>0</v>
      </c>
      <c r="AJ70" s="327">
        <v>0</v>
      </c>
      <c r="AK70" s="327">
        <v>0</v>
      </c>
      <c r="AL70" s="328"/>
      <c r="AM70" s="324">
        <v>0</v>
      </c>
      <c r="AN70" s="324">
        <v>0</v>
      </c>
      <c r="AO70" s="324">
        <v>0</v>
      </c>
      <c r="AP70" s="324">
        <v>0</v>
      </c>
      <c r="AQ70" s="324">
        <v>0</v>
      </c>
      <c r="AR70" s="324">
        <v>0</v>
      </c>
      <c r="AS70" s="293">
        <v>0</v>
      </c>
      <c r="AT70" s="327">
        <v>0</v>
      </c>
      <c r="AU70" s="327">
        <v>0</v>
      </c>
      <c r="AV70" s="328"/>
      <c r="AW70" s="324" t="s">
        <v>602</v>
      </c>
      <c r="AX70" s="324" t="s">
        <v>602</v>
      </c>
      <c r="AY70" s="324" t="s">
        <v>602</v>
      </c>
      <c r="AZ70" s="324" t="s">
        <v>602</v>
      </c>
      <c r="BA70" s="324"/>
      <c r="BB70" s="324" t="s">
        <v>602</v>
      </c>
      <c r="BC70" s="293"/>
      <c r="BD70" s="319"/>
      <c r="BE70" s="293"/>
      <c r="BF70" s="319"/>
      <c r="BG70" s="293"/>
      <c r="BH70" s="293"/>
      <c r="BI70" s="337">
        <v>15000</v>
      </c>
      <c r="BJ70" s="338">
        <v>0</v>
      </c>
      <c r="BK70" s="280"/>
    </row>
    <row r="71" spans="1:63" ht="15.75">
      <c r="A71" s="314">
        <v>501345</v>
      </c>
      <c r="B71" s="125" t="s">
        <v>803</v>
      </c>
      <c r="C71" s="124" t="s">
        <v>804</v>
      </c>
      <c r="D71" s="126">
        <v>203832</v>
      </c>
      <c r="E71" s="149" t="s">
        <v>805</v>
      </c>
      <c r="F71" s="149" t="s">
        <v>806</v>
      </c>
      <c r="G71" s="127" t="s">
        <v>46</v>
      </c>
      <c r="H71" s="123" t="s">
        <v>628</v>
      </c>
      <c r="I71" s="126" t="s">
        <v>609</v>
      </c>
      <c r="J71" s="126" t="s">
        <v>807</v>
      </c>
      <c r="K71" s="128" t="s">
        <v>808</v>
      </c>
      <c r="L71" s="121" t="s">
        <v>515</v>
      </c>
      <c r="M71" s="143" t="s">
        <v>714</v>
      </c>
      <c r="N71" s="129">
        <v>42614</v>
      </c>
      <c r="O71" s="129">
        <v>43890</v>
      </c>
      <c r="P71" s="129">
        <v>44145</v>
      </c>
      <c r="Q71" s="330">
        <v>107000</v>
      </c>
      <c r="R71" s="331"/>
      <c r="S71" s="324">
        <v>21000</v>
      </c>
      <c r="T71" s="324">
        <v>0</v>
      </c>
      <c r="U71" s="324">
        <v>0</v>
      </c>
      <c r="V71" s="324"/>
      <c r="W71" s="324">
        <v>0</v>
      </c>
      <c r="X71" s="324">
        <v>0</v>
      </c>
      <c r="Y71" s="312">
        <v>21000</v>
      </c>
      <c r="Z71" s="325">
        <v>21000</v>
      </c>
      <c r="AA71" s="325">
        <v>0</v>
      </c>
      <c r="AB71" s="326"/>
      <c r="AC71" s="324">
        <v>43000</v>
      </c>
      <c r="AD71" s="324">
        <v>0</v>
      </c>
      <c r="AE71" s="324">
        <v>0</v>
      </c>
      <c r="AF71" s="324">
        <v>0</v>
      </c>
      <c r="AG71" s="324">
        <v>0</v>
      </c>
      <c r="AH71" s="324"/>
      <c r="AI71" s="312">
        <v>43000</v>
      </c>
      <c r="AJ71" s="327">
        <v>43000</v>
      </c>
      <c r="AK71" s="327">
        <v>0</v>
      </c>
      <c r="AL71" s="328"/>
      <c r="AM71" s="279">
        <v>43000</v>
      </c>
      <c r="AN71" s="279">
        <v>0</v>
      </c>
      <c r="AO71" s="279">
        <v>0</v>
      </c>
      <c r="AP71" s="279"/>
      <c r="AQ71" s="279">
        <v>0</v>
      </c>
      <c r="AR71" s="279">
        <v>0</v>
      </c>
      <c r="AS71" s="293">
        <v>43000</v>
      </c>
      <c r="AT71" s="327">
        <v>43000</v>
      </c>
      <c r="AU71" s="327">
        <v>0</v>
      </c>
      <c r="AV71" s="328"/>
      <c r="AW71" s="279"/>
      <c r="AX71" s="279"/>
      <c r="AY71" s="279"/>
      <c r="AZ71" s="279"/>
      <c r="BA71" s="279"/>
      <c r="BB71" s="279"/>
      <c r="BC71" s="293"/>
      <c r="BD71" s="319"/>
      <c r="BE71" s="293"/>
      <c r="BF71" s="319"/>
      <c r="BG71" s="293"/>
      <c r="BH71" s="293"/>
      <c r="BI71" s="337">
        <v>107000</v>
      </c>
      <c r="BJ71" s="338">
        <v>0</v>
      </c>
      <c r="BK71" s="280"/>
    </row>
    <row r="72" spans="1:63" ht="15.75">
      <c r="A72" s="314">
        <v>502315</v>
      </c>
      <c r="B72" s="125" t="s">
        <v>809</v>
      </c>
      <c r="C72" s="124" t="s">
        <v>810</v>
      </c>
      <c r="D72" s="126">
        <v>205404</v>
      </c>
      <c r="E72" s="124" t="s">
        <v>811</v>
      </c>
      <c r="F72" s="124" t="s">
        <v>812</v>
      </c>
      <c r="G72" s="127" t="s">
        <v>46</v>
      </c>
      <c r="H72" s="126" t="s">
        <v>628</v>
      </c>
      <c r="I72" s="123" t="s">
        <v>703</v>
      </c>
      <c r="J72" s="126" t="s">
        <v>774</v>
      </c>
      <c r="K72" s="128" t="s">
        <v>775</v>
      </c>
      <c r="L72" s="121" t="s">
        <v>652</v>
      </c>
      <c r="M72" s="123" t="s">
        <v>813</v>
      </c>
      <c r="N72" s="129">
        <v>42826</v>
      </c>
      <c r="O72" s="129">
        <v>43281</v>
      </c>
      <c r="P72" s="129">
        <v>43312</v>
      </c>
      <c r="Q72" s="323">
        <v>29000</v>
      </c>
      <c r="R72" s="319"/>
      <c r="S72" s="324">
        <v>26000</v>
      </c>
      <c r="T72" s="324">
        <v>0</v>
      </c>
      <c r="U72" s="324">
        <v>3000</v>
      </c>
      <c r="V72" s="324"/>
      <c r="W72" s="324">
        <v>0</v>
      </c>
      <c r="X72" s="324">
        <v>0</v>
      </c>
      <c r="Y72" s="312">
        <v>29000</v>
      </c>
      <c r="Z72" s="325">
        <v>29000</v>
      </c>
      <c r="AA72" s="325">
        <v>0</v>
      </c>
      <c r="AB72" s="326"/>
      <c r="AC72" s="324" t="s">
        <v>602</v>
      </c>
      <c r="AD72" s="324" t="s">
        <v>602</v>
      </c>
      <c r="AE72" s="324" t="s">
        <v>602</v>
      </c>
      <c r="AF72" s="324" t="s">
        <v>602</v>
      </c>
      <c r="AG72" s="324" t="s">
        <v>602</v>
      </c>
      <c r="AH72" s="324"/>
      <c r="AI72" s="312">
        <v>0</v>
      </c>
      <c r="AJ72" s="327">
        <v>0</v>
      </c>
      <c r="AK72" s="327">
        <v>0</v>
      </c>
      <c r="AL72" s="328"/>
      <c r="AM72" s="324" t="s">
        <v>602</v>
      </c>
      <c r="AN72" s="324" t="s">
        <v>602</v>
      </c>
      <c r="AO72" s="324" t="s">
        <v>602</v>
      </c>
      <c r="AP72" s="324" t="s">
        <v>602</v>
      </c>
      <c r="AQ72" s="324" t="s">
        <v>602</v>
      </c>
      <c r="AR72" s="279" t="s">
        <v>602</v>
      </c>
      <c r="AS72" s="293">
        <v>0</v>
      </c>
      <c r="AT72" s="327">
        <v>0</v>
      </c>
      <c r="AU72" s="327">
        <v>0</v>
      </c>
      <c r="AV72" s="328"/>
      <c r="AW72" s="279"/>
      <c r="AX72" s="279"/>
      <c r="AY72" s="279"/>
      <c r="AZ72" s="279"/>
      <c r="BA72" s="279"/>
      <c r="BB72" s="279"/>
      <c r="BC72" s="293"/>
      <c r="BD72" s="319"/>
      <c r="BE72" s="293"/>
      <c r="BF72" s="319"/>
      <c r="BG72" s="293"/>
      <c r="BH72" s="293"/>
      <c r="BI72" s="337">
        <v>29000</v>
      </c>
      <c r="BJ72" s="338">
        <v>0</v>
      </c>
      <c r="BK72" s="124" t="s">
        <v>814</v>
      </c>
    </row>
    <row r="73" spans="1:63" ht="15.75">
      <c r="A73" s="314">
        <v>506458</v>
      </c>
      <c r="B73" s="125" t="s">
        <v>815</v>
      </c>
      <c r="C73" s="124" t="s">
        <v>96</v>
      </c>
      <c r="D73" s="126">
        <v>205547</v>
      </c>
      <c r="E73" s="124" t="s">
        <v>816</v>
      </c>
      <c r="F73" s="124" t="s">
        <v>817</v>
      </c>
      <c r="G73" s="127" t="s">
        <v>46</v>
      </c>
      <c r="H73" s="126" t="s">
        <v>628</v>
      </c>
      <c r="I73" s="126" t="s">
        <v>609</v>
      </c>
      <c r="J73" s="126" t="s">
        <v>818</v>
      </c>
      <c r="K73" s="193" t="s">
        <v>819</v>
      </c>
      <c r="L73" s="121" t="s">
        <v>19</v>
      </c>
      <c r="M73" s="123" t="s">
        <v>820</v>
      </c>
      <c r="N73" s="129">
        <v>43556</v>
      </c>
      <c r="O73" s="129">
        <v>44377</v>
      </c>
      <c r="P73" s="129">
        <v>44377</v>
      </c>
      <c r="Q73" s="323">
        <v>53960</v>
      </c>
      <c r="R73" s="319"/>
      <c r="S73" s="324">
        <v>26980</v>
      </c>
      <c r="T73" s="324">
        <v>0</v>
      </c>
      <c r="U73" s="324">
        <v>0</v>
      </c>
      <c r="V73" s="324">
        <v>0</v>
      </c>
      <c r="W73" s="324">
        <v>0</v>
      </c>
      <c r="X73" s="324">
        <v>0</v>
      </c>
      <c r="Y73" s="312">
        <v>26980</v>
      </c>
      <c r="Z73" s="325">
        <v>26980</v>
      </c>
      <c r="AA73" s="325">
        <v>0</v>
      </c>
      <c r="AB73" s="326"/>
      <c r="AC73" s="324">
        <v>26980</v>
      </c>
      <c r="AD73" s="324">
        <v>0</v>
      </c>
      <c r="AE73" s="324">
        <v>0</v>
      </c>
      <c r="AF73" s="324">
        <v>0</v>
      </c>
      <c r="AG73" s="324">
        <v>0</v>
      </c>
      <c r="AH73" s="324">
        <v>0</v>
      </c>
      <c r="AI73" s="312">
        <v>26980</v>
      </c>
      <c r="AJ73" s="327">
        <v>26980</v>
      </c>
      <c r="AK73" s="327">
        <v>0</v>
      </c>
      <c r="AL73" s="339"/>
      <c r="AM73" s="324" t="s">
        <v>602</v>
      </c>
      <c r="AN73" s="324" t="s">
        <v>602</v>
      </c>
      <c r="AO73" s="324" t="s">
        <v>602</v>
      </c>
      <c r="AP73" s="324" t="s">
        <v>602</v>
      </c>
      <c r="AQ73" s="324" t="s">
        <v>602</v>
      </c>
      <c r="AR73" s="279"/>
      <c r="AS73" s="293"/>
      <c r="AT73" s="327">
        <v>0</v>
      </c>
      <c r="AU73" s="327">
        <v>0</v>
      </c>
      <c r="AV73" s="328"/>
      <c r="AW73" s="279"/>
      <c r="AX73" s="279"/>
      <c r="AY73" s="279"/>
      <c r="AZ73" s="279"/>
      <c r="BA73" s="279"/>
      <c r="BB73" s="279"/>
      <c r="BC73" s="293"/>
      <c r="BD73" s="319"/>
      <c r="BE73" s="293"/>
      <c r="BF73" s="319"/>
      <c r="BG73" s="293"/>
      <c r="BH73" s="293"/>
      <c r="BI73" s="337">
        <v>53960</v>
      </c>
      <c r="BJ73" s="338">
        <v>0</v>
      </c>
      <c r="BK73" s="282" t="s">
        <v>821</v>
      </c>
    </row>
    <row r="74" spans="1:63" ht="15.75">
      <c r="A74" s="314">
        <v>512373</v>
      </c>
      <c r="B74" s="125" t="s">
        <v>815</v>
      </c>
      <c r="C74" s="124" t="s">
        <v>96</v>
      </c>
      <c r="D74" s="126">
        <v>205547</v>
      </c>
      <c r="E74" s="124" t="s">
        <v>816</v>
      </c>
      <c r="F74" s="124" t="s">
        <v>817</v>
      </c>
      <c r="G74" s="127" t="s">
        <v>46</v>
      </c>
      <c r="H74" s="126" t="s">
        <v>628</v>
      </c>
      <c r="I74" s="126" t="s">
        <v>609</v>
      </c>
      <c r="J74" s="126" t="s">
        <v>818</v>
      </c>
      <c r="K74" s="126" t="s">
        <v>819</v>
      </c>
      <c r="L74" s="121" t="s">
        <v>5</v>
      </c>
      <c r="M74" s="123" t="s">
        <v>822</v>
      </c>
      <c r="N74" s="129">
        <v>44287</v>
      </c>
      <c r="O74" s="129">
        <v>44651</v>
      </c>
      <c r="P74" s="129">
        <v>44651</v>
      </c>
      <c r="Q74" s="323">
        <v>55000</v>
      </c>
      <c r="R74" s="319"/>
      <c r="S74" s="324">
        <v>30000</v>
      </c>
      <c r="T74" s="324">
        <v>0</v>
      </c>
      <c r="U74" s="324">
        <v>25000</v>
      </c>
      <c r="V74" s="324">
        <v>0</v>
      </c>
      <c r="W74" s="324">
        <v>0</v>
      </c>
      <c r="X74" s="324"/>
      <c r="Y74" s="312">
        <v>55000</v>
      </c>
      <c r="Z74" s="325">
        <v>55000</v>
      </c>
      <c r="AA74" s="325">
        <v>0</v>
      </c>
      <c r="AB74" s="326"/>
      <c r="AC74" s="324">
        <v>30000</v>
      </c>
      <c r="AD74" s="324">
        <v>0</v>
      </c>
      <c r="AE74" s="324">
        <v>25000</v>
      </c>
      <c r="AF74" s="324">
        <v>0</v>
      </c>
      <c r="AG74" s="324">
        <v>0</v>
      </c>
      <c r="AH74" s="324">
        <v>0</v>
      </c>
      <c r="AI74" s="312">
        <v>55000</v>
      </c>
      <c r="AJ74" s="327">
        <v>55000</v>
      </c>
      <c r="AK74" s="327">
        <v>0</v>
      </c>
      <c r="AL74" s="339"/>
      <c r="AM74" s="324"/>
      <c r="AN74" s="324"/>
      <c r="AO74" s="324"/>
      <c r="AP74" s="324"/>
      <c r="AQ74" s="324"/>
      <c r="AR74" s="279"/>
      <c r="AS74" s="293"/>
      <c r="AT74" s="327"/>
      <c r="AU74" s="327"/>
      <c r="AV74" s="328"/>
      <c r="AW74" s="279"/>
      <c r="AX74" s="279"/>
      <c r="AY74" s="279"/>
      <c r="AZ74" s="279"/>
      <c r="BA74" s="279"/>
      <c r="BB74" s="279"/>
      <c r="BC74" s="293"/>
      <c r="BD74" s="319"/>
      <c r="BE74" s="293"/>
      <c r="BF74" s="319"/>
      <c r="BG74" s="293"/>
      <c r="BH74" s="293"/>
      <c r="BI74" s="337">
        <v>110000</v>
      </c>
      <c r="BJ74" s="338">
        <v>55000</v>
      </c>
      <c r="BK74" s="282"/>
    </row>
    <row r="75" spans="1:63" ht="15.75">
      <c r="A75" s="314">
        <v>506485</v>
      </c>
      <c r="B75" s="125" t="s">
        <v>823</v>
      </c>
      <c r="C75" s="124" t="s">
        <v>824</v>
      </c>
      <c r="D75" s="126">
        <v>205554</v>
      </c>
      <c r="E75" s="124" t="s">
        <v>825</v>
      </c>
      <c r="F75" s="124" t="s">
        <v>826</v>
      </c>
      <c r="G75" s="127" t="s">
        <v>46</v>
      </c>
      <c r="H75" s="126" t="s">
        <v>628</v>
      </c>
      <c r="I75" s="126" t="s">
        <v>609</v>
      </c>
      <c r="J75" s="126" t="s">
        <v>818</v>
      </c>
      <c r="K75" s="128"/>
      <c r="L75" s="121" t="s">
        <v>521</v>
      </c>
      <c r="M75" s="123" t="s">
        <v>827</v>
      </c>
      <c r="N75" s="129">
        <v>43466</v>
      </c>
      <c r="O75" s="129">
        <v>44347</v>
      </c>
      <c r="P75" s="129">
        <v>44347</v>
      </c>
      <c r="Q75" s="323">
        <v>20000</v>
      </c>
      <c r="R75" s="319"/>
      <c r="S75" s="324">
        <v>10000</v>
      </c>
      <c r="T75" s="324">
        <v>0</v>
      </c>
      <c r="U75" s="324">
        <v>0</v>
      </c>
      <c r="V75" s="324">
        <v>0</v>
      </c>
      <c r="W75" s="324">
        <v>0</v>
      </c>
      <c r="X75" s="324">
        <v>0</v>
      </c>
      <c r="Y75" s="312">
        <v>10000</v>
      </c>
      <c r="Z75" s="325">
        <v>10000</v>
      </c>
      <c r="AA75" s="325">
        <v>0</v>
      </c>
      <c r="AB75" s="326"/>
      <c r="AC75" s="324">
        <v>10000</v>
      </c>
      <c r="AD75" s="324">
        <v>0</v>
      </c>
      <c r="AE75" s="324">
        <v>0</v>
      </c>
      <c r="AF75" s="324">
        <v>0</v>
      </c>
      <c r="AG75" s="324">
        <v>0</v>
      </c>
      <c r="AH75" s="324"/>
      <c r="AI75" s="312">
        <v>10000</v>
      </c>
      <c r="AJ75" s="327">
        <v>10000</v>
      </c>
      <c r="AK75" s="327">
        <v>0</v>
      </c>
      <c r="AL75" s="328"/>
      <c r="AM75" s="279" t="s">
        <v>602</v>
      </c>
      <c r="AN75" s="279" t="s">
        <v>602</v>
      </c>
      <c r="AO75" s="279" t="s">
        <v>602</v>
      </c>
      <c r="AP75" s="279" t="s">
        <v>602</v>
      </c>
      <c r="AQ75" s="279" t="s">
        <v>602</v>
      </c>
      <c r="AR75" s="279" t="s">
        <v>602</v>
      </c>
      <c r="AS75" s="293"/>
      <c r="AT75" s="327">
        <v>0</v>
      </c>
      <c r="AU75" s="327">
        <v>0</v>
      </c>
      <c r="AV75" s="328"/>
      <c r="AW75" s="279"/>
      <c r="AX75" s="279"/>
      <c r="AY75" s="279"/>
      <c r="AZ75" s="279"/>
      <c r="BA75" s="279"/>
      <c r="BB75" s="279"/>
      <c r="BC75" s="293"/>
      <c r="BD75" s="319"/>
      <c r="BE75" s="293"/>
      <c r="BF75" s="319"/>
      <c r="BG75" s="293"/>
      <c r="BH75" s="293"/>
      <c r="BI75" s="337">
        <v>20000</v>
      </c>
      <c r="BJ75" s="338">
        <v>0</v>
      </c>
      <c r="BK75" s="126" t="s">
        <v>828</v>
      </c>
    </row>
    <row r="76" spans="1:63" ht="15.75">
      <c r="A76" s="314">
        <v>504337</v>
      </c>
      <c r="B76" s="125" t="s">
        <v>829</v>
      </c>
      <c r="C76" s="124" t="s">
        <v>213</v>
      </c>
      <c r="D76" s="126">
        <v>205592</v>
      </c>
      <c r="E76" s="124" t="s">
        <v>830</v>
      </c>
      <c r="F76" s="124" t="s">
        <v>831</v>
      </c>
      <c r="G76" s="127" t="s">
        <v>46</v>
      </c>
      <c r="H76" s="126" t="s">
        <v>597</v>
      </c>
      <c r="I76" s="123" t="s">
        <v>703</v>
      </c>
      <c r="J76" s="126" t="s">
        <v>774</v>
      </c>
      <c r="K76" s="128" t="s">
        <v>775</v>
      </c>
      <c r="L76" s="121" t="s">
        <v>19</v>
      </c>
      <c r="M76" s="123" t="s">
        <v>832</v>
      </c>
      <c r="N76" s="129">
        <v>43191</v>
      </c>
      <c r="O76" s="129">
        <v>44104</v>
      </c>
      <c r="P76" s="129">
        <v>44404</v>
      </c>
      <c r="Q76" s="323">
        <v>148305.91</v>
      </c>
      <c r="R76" s="319"/>
      <c r="S76" s="324">
        <v>39230</v>
      </c>
      <c r="T76" s="324">
        <v>7858.25</v>
      </c>
      <c r="U76" s="324">
        <v>19200</v>
      </c>
      <c r="V76" s="324">
        <v>0</v>
      </c>
      <c r="W76" s="324">
        <v>7800</v>
      </c>
      <c r="X76" s="324">
        <v>0</v>
      </c>
      <c r="Y76" s="312">
        <v>74088.25</v>
      </c>
      <c r="Z76" s="325">
        <v>74088.25</v>
      </c>
      <c r="AA76" s="325">
        <v>0</v>
      </c>
      <c r="AB76" s="326"/>
      <c r="AC76" s="324">
        <v>37650</v>
      </c>
      <c r="AD76" s="324">
        <v>0</v>
      </c>
      <c r="AE76" s="324">
        <v>11767.66</v>
      </c>
      <c r="AF76" s="324">
        <v>0</v>
      </c>
      <c r="AG76" s="324">
        <v>24800</v>
      </c>
      <c r="AH76" s="324"/>
      <c r="AI76" s="312">
        <v>74217.66</v>
      </c>
      <c r="AJ76" s="327">
        <v>74217.66</v>
      </c>
      <c r="AK76" s="327">
        <v>0</v>
      </c>
      <c r="AL76" s="339"/>
      <c r="AM76" s="324" t="s">
        <v>602</v>
      </c>
      <c r="AN76" s="324" t="s">
        <v>602</v>
      </c>
      <c r="AO76" s="324" t="s">
        <v>602</v>
      </c>
      <c r="AP76" s="324" t="s">
        <v>602</v>
      </c>
      <c r="AQ76" s="324" t="s">
        <v>602</v>
      </c>
      <c r="AR76" s="279" t="s">
        <v>602</v>
      </c>
      <c r="AS76" s="293">
        <v>0</v>
      </c>
      <c r="AT76" s="327">
        <v>0</v>
      </c>
      <c r="AU76" s="327">
        <v>0</v>
      </c>
      <c r="AV76" s="328"/>
      <c r="AW76" s="279"/>
      <c r="AX76" s="279"/>
      <c r="AY76" s="279"/>
      <c r="AZ76" s="279"/>
      <c r="BA76" s="279"/>
      <c r="BB76" s="279"/>
      <c r="BC76" s="293"/>
      <c r="BD76" s="319"/>
      <c r="BE76" s="293"/>
      <c r="BF76" s="319"/>
      <c r="BG76" s="293"/>
      <c r="BH76" s="293"/>
      <c r="BI76" s="337">
        <v>148305.91</v>
      </c>
      <c r="BJ76" s="338">
        <v>0</v>
      </c>
      <c r="BK76" s="126" t="s">
        <v>833</v>
      </c>
    </row>
    <row r="77" spans="1:63" ht="15.75">
      <c r="A77" s="314">
        <v>507641</v>
      </c>
      <c r="B77" s="125" t="s">
        <v>829</v>
      </c>
      <c r="C77" s="124" t="s">
        <v>213</v>
      </c>
      <c r="D77" s="126">
        <v>205592</v>
      </c>
      <c r="E77" s="124" t="s">
        <v>830</v>
      </c>
      <c r="F77" s="124" t="s">
        <v>831</v>
      </c>
      <c r="G77" s="127" t="s">
        <v>46</v>
      </c>
      <c r="H77" s="126" t="s">
        <v>628</v>
      </c>
      <c r="I77" s="123" t="s">
        <v>703</v>
      </c>
      <c r="J77" s="126" t="s">
        <v>774</v>
      </c>
      <c r="K77" s="169" t="s">
        <v>834</v>
      </c>
      <c r="L77" s="121" t="s">
        <v>519</v>
      </c>
      <c r="M77" s="123" t="s">
        <v>755</v>
      </c>
      <c r="N77" s="129">
        <v>43709</v>
      </c>
      <c r="O77" s="129">
        <v>44895</v>
      </c>
      <c r="P77" s="129">
        <v>44895</v>
      </c>
      <c r="Q77" s="323">
        <v>96000</v>
      </c>
      <c r="R77" s="319"/>
      <c r="S77" s="324">
        <v>7820.6100000000006</v>
      </c>
      <c r="T77" s="324"/>
      <c r="U77" s="324">
        <v>20553.379999999997</v>
      </c>
      <c r="V77" s="324"/>
      <c r="W77" s="324">
        <v>3626.01</v>
      </c>
      <c r="X77" s="324"/>
      <c r="Y77" s="312">
        <v>32000</v>
      </c>
      <c r="Z77" s="325">
        <v>32000</v>
      </c>
      <c r="AA77" s="325">
        <v>0</v>
      </c>
      <c r="AB77" s="326"/>
      <c r="AC77" s="324">
        <v>20000</v>
      </c>
      <c r="AD77" s="324"/>
      <c r="AE77" s="324">
        <v>1500</v>
      </c>
      <c r="AF77" s="324"/>
      <c r="AG77" s="324">
        <v>10500</v>
      </c>
      <c r="AH77" s="324"/>
      <c r="AI77" s="312">
        <v>32000</v>
      </c>
      <c r="AJ77" s="327">
        <v>32000</v>
      </c>
      <c r="AK77" s="327">
        <v>0</v>
      </c>
      <c r="AL77" s="328"/>
      <c r="AM77" s="324">
        <v>20000</v>
      </c>
      <c r="AN77" s="324"/>
      <c r="AO77" s="324">
        <v>6000</v>
      </c>
      <c r="AP77" s="324"/>
      <c r="AQ77" s="324">
        <v>6000</v>
      </c>
      <c r="AR77" s="324"/>
      <c r="AS77" s="293">
        <v>32000</v>
      </c>
      <c r="AT77" s="327">
        <v>32000</v>
      </c>
      <c r="AU77" s="327">
        <v>0</v>
      </c>
      <c r="AV77" s="328"/>
      <c r="AW77" s="279"/>
      <c r="AX77" s="279"/>
      <c r="AY77" s="279"/>
      <c r="AZ77" s="279"/>
      <c r="BA77" s="279"/>
      <c r="BB77" s="279"/>
      <c r="BC77" s="293"/>
      <c r="BD77" s="319"/>
      <c r="BE77" s="293"/>
      <c r="BF77" s="319"/>
      <c r="BG77" s="293"/>
      <c r="BH77" s="293"/>
      <c r="BI77" s="337">
        <v>96000</v>
      </c>
      <c r="BJ77" s="338">
        <v>0</v>
      </c>
      <c r="BK77" s="126"/>
    </row>
    <row r="78" spans="1:63" ht="15.75">
      <c r="A78" s="314">
        <v>500548</v>
      </c>
      <c r="B78" s="125" t="s">
        <v>835</v>
      </c>
      <c r="C78" s="124" t="s">
        <v>836</v>
      </c>
      <c r="D78" s="126">
        <v>205818</v>
      </c>
      <c r="E78" s="124" t="s">
        <v>837</v>
      </c>
      <c r="F78" s="124" t="s">
        <v>838</v>
      </c>
      <c r="G78" s="127" t="s">
        <v>46</v>
      </c>
      <c r="H78" s="126" t="s">
        <v>597</v>
      </c>
      <c r="I78" s="126" t="s">
        <v>598</v>
      </c>
      <c r="J78" s="126" t="s">
        <v>696</v>
      </c>
      <c r="K78" s="128" t="s">
        <v>697</v>
      </c>
      <c r="L78" s="121" t="s">
        <v>637</v>
      </c>
      <c r="M78" s="123" t="s">
        <v>638</v>
      </c>
      <c r="N78" s="129">
        <v>42248</v>
      </c>
      <c r="O78" s="129">
        <v>42643</v>
      </c>
      <c r="P78" s="129">
        <v>42697</v>
      </c>
      <c r="Q78" s="323">
        <v>70000</v>
      </c>
      <c r="R78" s="324">
        <v>60000</v>
      </c>
      <c r="S78" s="324"/>
      <c r="T78" s="324">
        <v>10000</v>
      </c>
      <c r="U78" s="324">
        <v>0</v>
      </c>
      <c r="V78" s="324"/>
      <c r="W78" s="324">
        <v>0</v>
      </c>
      <c r="X78" s="324">
        <v>0</v>
      </c>
      <c r="Y78" s="312">
        <v>70000</v>
      </c>
      <c r="Z78" s="325">
        <v>70000</v>
      </c>
      <c r="AA78" s="325">
        <v>0</v>
      </c>
      <c r="AB78" s="326"/>
      <c r="AC78" s="324" t="s">
        <v>602</v>
      </c>
      <c r="AD78" s="324" t="s">
        <v>602</v>
      </c>
      <c r="AE78" s="324" t="s">
        <v>602</v>
      </c>
      <c r="AF78" s="324" t="s">
        <v>602</v>
      </c>
      <c r="AG78" s="324" t="s">
        <v>602</v>
      </c>
      <c r="AH78" s="324"/>
      <c r="AI78" s="312">
        <v>0</v>
      </c>
      <c r="AJ78" s="327">
        <v>0</v>
      </c>
      <c r="AK78" s="327">
        <v>0</v>
      </c>
      <c r="AL78" s="328"/>
      <c r="AM78" s="324">
        <v>0</v>
      </c>
      <c r="AN78" s="324">
        <v>0</v>
      </c>
      <c r="AO78" s="324">
        <v>0</v>
      </c>
      <c r="AP78" s="324">
        <v>0</v>
      </c>
      <c r="AQ78" s="324">
        <v>0</v>
      </c>
      <c r="AR78" s="324">
        <v>0</v>
      </c>
      <c r="AS78" s="293">
        <v>0</v>
      </c>
      <c r="AT78" s="327">
        <v>0</v>
      </c>
      <c r="AU78" s="327">
        <v>0</v>
      </c>
      <c r="AV78" s="328"/>
      <c r="AW78" s="324" t="s">
        <v>602</v>
      </c>
      <c r="AX78" s="324" t="s">
        <v>602</v>
      </c>
      <c r="AY78" s="324" t="s">
        <v>602</v>
      </c>
      <c r="AZ78" s="324" t="s">
        <v>602</v>
      </c>
      <c r="BA78" s="324"/>
      <c r="BB78" s="324" t="s">
        <v>602</v>
      </c>
      <c r="BC78" s="293"/>
      <c r="BD78" s="319"/>
      <c r="BE78" s="293"/>
      <c r="BF78" s="319"/>
      <c r="BG78" s="293"/>
      <c r="BH78" s="293"/>
      <c r="BI78" s="337">
        <v>70000</v>
      </c>
      <c r="BJ78" s="338">
        <v>0</v>
      </c>
      <c r="BK78" s="126"/>
    </row>
    <row r="79" spans="1:63" ht="15.75">
      <c r="A79" s="314">
        <v>501332</v>
      </c>
      <c r="B79" s="125" t="s">
        <v>835</v>
      </c>
      <c r="C79" s="124" t="s">
        <v>836</v>
      </c>
      <c r="D79" s="126">
        <v>205818</v>
      </c>
      <c r="E79" s="124" t="s">
        <v>837</v>
      </c>
      <c r="F79" s="124" t="s">
        <v>838</v>
      </c>
      <c r="G79" s="127" t="s">
        <v>46</v>
      </c>
      <c r="H79" s="126" t="s">
        <v>628</v>
      </c>
      <c r="I79" s="126" t="s">
        <v>598</v>
      </c>
      <c r="J79" s="126" t="s">
        <v>696</v>
      </c>
      <c r="K79" s="128" t="s">
        <v>697</v>
      </c>
      <c r="L79" s="121" t="s">
        <v>515</v>
      </c>
      <c r="M79" s="123" t="s">
        <v>839</v>
      </c>
      <c r="N79" s="129">
        <v>42614</v>
      </c>
      <c r="O79" s="129">
        <v>43708</v>
      </c>
      <c r="P79" s="129">
        <v>43708</v>
      </c>
      <c r="Q79" s="323">
        <v>75000</v>
      </c>
      <c r="R79" s="319"/>
      <c r="S79" s="324">
        <v>25000</v>
      </c>
      <c r="T79" s="324">
        <v>0</v>
      </c>
      <c r="U79" s="324">
        <v>0</v>
      </c>
      <c r="V79" s="324"/>
      <c r="W79" s="324">
        <v>0</v>
      </c>
      <c r="X79" s="324">
        <v>0</v>
      </c>
      <c r="Y79" s="312">
        <v>25000</v>
      </c>
      <c r="Z79" s="325">
        <v>25000</v>
      </c>
      <c r="AA79" s="325">
        <v>0</v>
      </c>
      <c r="AB79" s="326"/>
      <c r="AC79" s="324">
        <v>25000</v>
      </c>
      <c r="AD79" s="324">
        <v>0</v>
      </c>
      <c r="AE79" s="324">
        <v>0</v>
      </c>
      <c r="AF79" s="324">
        <v>0</v>
      </c>
      <c r="AG79" s="324">
        <v>0</v>
      </c>
      <c r="AH79" s="324"/>
      <c r="AI79" s="312">
        <v>25000</v>
      </c>
      <c r="AJ79" s="327">
        <v>25000</v>
      </c>
      <c r="AK79" s="327">
        <v>0</v>
      </c>
      <c r="AL79" s="328"/>
      <c r="AM79" s="279">
        <v>25000</v>
      </c>
      <c r="AN79" s="279">
        <v>0</v>
      </c>
      <c r="AO79" s="279">
        <v>0</v>
      </c>
      <c r="AP79" s="279"/>
      <c r="AQ79" s="279">
        <v>0</v>
      </c>
      <c r="AR79" s="279">
        <v>0</v>
      </c>
      <c r="AS79" s="293">
        <v>25000</v>
      </c>
      <c r="AT79" s="327">
        <v>25000</v>
      </c>
      <c r="AU79" s="327">
        <v>0</v>
      </c>
      <c r="AV79" s="328"/>
      <c r="AW79" s="279"/>
      <c r="AX79" s="279"/>
      <c r="AY79" s="279"/>
      <c r="AZ79" s="279"/>
      <c r="BA79" s="279"/>
      <c r="BB79" s="279"/>
      <c r="BC79" s="293"/>
      <c r="BD79" s="319"/>
      <c r="BE79" s="293"/>
      <c r="BF79" s="319"/>
      <c r="BG79" s="293"/>
      <c r="BH79" s="293"/>
      <c r="BI79" s="337">
        <v>75000</v>
      </c>
      <c r="BJ79" s="338">
        <v>0</v>
      </c>
      <c r="BK79" s="126"/>
    </row>
    <row r="80" spans="1:63" ht="15.75">
      <c r="A80" s="314">
        <v>501333</v>
      </c>
      <c r="B80" s="125" t="s">
        <v>835</v>
      </c>
      <c r="C80" s="124" t="s">
        <v>836</v>
      </c>
      <c r="D80" s="126">
        <v>205818</v>
      </c>
      <c r="E80" s="124" t="s">
        <v>837</v>
      </c>
      <c r="F80" s="124" t="s">
        <v>838</v>
      </c>
      <c r="G80" s="127" t="s">
        <v>46</v>
      </c>
      <c r="H80" s="126" t="s">
        <v>628</v>
      </c>
      <c r="I80" s="126" t="s">
        <v>598</v>
      </c>
      <c r="J80" s="126" t="s">
        <v>696</v>
      </c>
      <c r="K80" s="128" t="s">
        <v>697</v>
      </c>
      <c r="L80" s="121" t="s">
        <v>515</v>
      </c>
      <c r="M80" s="123" t="s">
        <v>797</v>
      </c>
      <c r="N80" s="129">
        <v>42614</v>
      </c>
      <c r="O80" s="129">
        <v>43830</v>
      </c>
      <c r="P80" s="129">
        <v>44144</v>
      </c>
      <c r="Q80" s="323">
        <v>180000</v>
      </c>
      <c r="R80" s="319"/>
      <c r="S80" s="324">
        <v>60000</v>
      </c>
      <c r="T80" s="324">
        <v>0</v>
      </c>
      <c r="U80" s="324">
        <v>0</v>
      </c>
      <c r="V80" s="324"/>
      <c r="W80" s="324">
        <v>0</v>
      </c>
      <c r="X80" s="324">
        <v>0</v>
      </c>
      <c r="Y80" s="312">
        <v>60000</v>
      </c>
      <c r="Z80" s="325">
        <v>60000</v>
      </c>
      <c r="AA80" s="325">
        <v>0</v>
      </c>
      <c r="AB80" s="326"/>
      <c r="AC80" s="324">
        <v>60000</v>
      </c>
      <c r="AD80" s="324">
        <v>0</v>
      </c>
      <c r="AE80" s="324">
        <v>0</v>
      </c>
      <c r="AF80" s="324">
        <v>0</v>
      </c>
      <c r="AG80" s="324">
        <v>0</v>
      </c>
      <c r="AH80" s="324"/>
      <c r="AI80" s="312">
        <v>60000</v>
      </c>
      <c r="AJ80" s="327">
        <v>60000</v>
      </c>
      <c r="AK80" s="327">
        <v>0</v>
      </c>
      <c r="AL80" s="328"/>
      <c r="AM80" s="279">
        <v>60000</v>
      </c>
      <c r="AN80" s="279">
        <v>0</v>
      </c>
      <c r="AO80" s="279">
        <v>0</v>
      </c>
      <c r="AP80" s="279"/>
      <c r="AQ80" s="279">
        <v>0</v>
      </c>
      <c r="AR80" s="279">
        <v>0</v>
      </c>
      <c r="AS80" s="293">
        <v>60000</v>
      </c>
      <c r="AT80" s="327">
        <v>60000</v>
      </c>
      <c r="AU80" s="327">
        <v>0</v>
      </c>
      <c r="AV80" s="328"/>
      <c r="AW80" s="279"/>
      <c r="AX80" s="279"/>
      <c r="AY80" s="279"/>
      <c r="AZ80" s="279"/>
      <c r="BA80" s="279"/>
      <c r="BB80" s="279"/>
      <c r="BC80" s="293"/>
      <c r="BD80" s="319"/>
      <c r="BE80" s="293"/>
      <c r="BF80" s="319"/>
      <c r="BG80" s="293"/>
      <c r="BH80" s="293"/>
      <c r="BI80" s="337">
        <v>180000</v>
      </c>
      <c r="BJ80" s="338">
        <v>0</v>
      </c>
      <c r="BK80" s="126"/>
    </row>
    <row r="81" spans="1:63" ht="15.75">
      <c r="A81" s="314">
        <v>501334</v>
      </c>
      <c r="B81" s="125" t="s">
        <v>835</v>
      </c>
      <c r="C81" s="124" t="s">
        <v>836</v>
      </c>
      <c r="D81" s="126">
        <v>205818</v>
      </c>
      <c r="E81" s="124" t="s">
        <v>837</v>
      </c>
      <c r="F81" s="124" t="s">
        <v>838</v>
      </c>
      <c r="G81" s="127" t="s">
        <v>46</v>
      </c>
      <c r="H81" s="126" t="s">
        <v>628</v>
      </c>
      <c r="I81" s="126" t="s">
        <v>598</v>
      </c>
      <c r="J81" s="126" t="s">
        <v>696</v>
      </c>
      <c r="K81" s="128" t="s">
        <v>697</v>
      </c>
      <c r="L81" s="121" t="s">
        <v>515</v>
      </c>
      <c r="M81" s="123" t="s">
        <v>840</v>
      </c>
      <c r="N81" s="129">
        <v>42614</v>
      </c>
      <c r="O81" s="129">
        <v>43708</v>
      </c>
      <c r="P81" s="129">
        <v>44144</v>
      </c>
      <c r="Q81" s="323">
        <v>168000</v>
      </c>
      <c r="R81" s="319"/>
      <c r="S81" s="324">
        <v>56000</v>
      </c>
      <c r="T81" s="324">
        <v>0</v>
      </c>
      <c r="U81" s="324">
        <v>0</v>
      </c>
      <c r="V81" s="324"/>
      <c r="W81" s="324">
        <v>0</v>
      </c>
      <c r="X81" s="324">
        <v>0</v>
      </c>
      <c r="Y81" s="312">
        <v>56000</v>
      </c>
      <c r="Z81" s="325">
        <v>56000</v>
      </c>
      <c r="AA81" s="325">
        <v>0</v>
      </c>
      <c r="AB81" s="326"/>
      <c r="AC81" s="324">
        <v>56000</v>
      </c>
      <c r="AD81" s="324">
        <v>0</v>
      </c>
      <c r="AE81" s="324">
        <v>0</v>
      </c>
      <c r="AF81" s="324">
        <v>0</v>
      </c>
      <c r="AG81" s="324">
        <v>0</v>
      </c>
      <c r="AH81" s="324"/>
      <c r="AI81" s="312">
        <v>56000</v>
      </c>
      <c r="AJ81" s="327">
        <v>56000</v>
      </c>
      <c r="AK81" s="327">
        <v>0</v>
      </c>
      <c r="AL81" s="328"/>
      <c r="AM81" s="279">
        <v>56000</v>
      </c>
      <c r="AN81" s="279">
        <v>0</v>
      </c>
      <c r="AO81" s="279">
        <v>0</v>
      </c>
      <c r="AP81" s="279"/>
      <c r="AQ81" s="279">
        <v>0</v>
      </c>
      <c r="AR81" s="279">
        <v>0</v>
      </c>
      <c r="AS81" s="293">
        <v>56000</v>
      </c>
      <c r="AT81" s="327">
        <v>56000</v>
      </c>
      <c r="AU81" s="327">
        <v>0</v>
      </c>
      <c r="AV81" s="328"/>
      <c r="AW81" s="279"/>
      <c r="AX81" s="279"/>
      <c r="AY81" s="279"/>
      <c r="AZ81" s="279"/>
      <c r="BA81" s="279"/>
      <c r="BB81" s="279"/>
      <c r="BC81" s="293"/>
      <c r="BD81" s="319"/>
      <c r="BE81" s="293"/>
      <c r="BF81" s="319"/>
      <c r="BG81" s="293"/>
      <c r="BH81" s="293"/>
      <c r="BI81" s="337">
        <v>168000</v>
      </c>
      <c r="BJ81" s="338">
        <v>0</v>
      </c>
      <c r="BK81" s="126"/>
    </row>
    <row r="82" spans="1:63" ht="15.75">
      <c r="A82" s="314">
        <v>499902</v>
      </c>
      <c r="B82" s="125" t="s">
        <v>841</v>
      </c>
      <c r="C82" s="124" t="s">
        <v>842</v>
      </c>
      <c r="D82" s="126">
        <v>205839</v>
      </c>
      <c r="E82" s="124" t="s">
        <v>649</v>
      </c>
      <c r="F82" s="124" t="s">
        <v>843</v>
      </c>
      <c r="G82" s="127" t="s">
        <v>46</v>
      </c>
      <c r="H82" s="126" t="s">
        <v>597</v>
      </c>
      <c r="I82" s="123" t="s">
        <v>703</v>
      </c>
      <c r="J82" s="126" t="s">
        <v>704</v>
      </c>
      <c r="K82" s="128" t="s">
        <v>705</v>
      </c>
      <c r="L82" s="121" t="s">
        <v>637</v>
      </c>
      <c r="M82" s="123" t="s">
        <v>638</v>
      </c>
      <c r="N82" s="129">
        <v>42248</v>
      </c>
      <c r="O82" s="129">
        <v>42460</v>
      </c>
      <c r="P82" s="129">
        <v>42668</v>
      </c>
      <c r="Q82" s="323">
        <v>30000</v>
      </c>
      <c r="R82" s="324">
        <v>30000</v>
      </c>
      <c r="S82" s="324"/>
      <c r="T82" s="324">
        <v>0</v>
      </c>
      <c r="U82" s="324">
        <v>0</v>
      </c>
      <c r="V82" s="324"/>
      <c r="W82" s="324">
        <v>0</v>
      </c>
      <c r="X82" s="324">
        <v>0</v>
      </c>
      <c r="Y82" s="312">
        <v>30000</v>
      </c>
      <c r="Z82" s="325">
        <v>30000</v>
      </c>
      <c r="AA82" s="325">
        <v>0</v>
      </c>
      <c r="AB82" s="326"/>
      <c r="AC82" s="324" t="s">
        <v>602</v>
      </c>
      <c r="AD82" s="324" t="s">
        <v>602</v>
      </c>
      <c r="AE82" s="324" t="s">
        <v>602</v>
      </c>
      <c r="AF82" s="324" t="s">
        <v>602</v>
      </c>
      <c r="AG82" s="324" t="s">
        <v>602</v>
      </c>
      <c r="AH82" s="324"/>
      <c r="AI82" s="312">
        <v>0</v>
      </c>
      <c r="AJ82" s="327">
        <v>0</v>
      </c>
      <c r="AK82" s="327">
        <v>0</v>
      </c>
      <c r="AL82" s="328"/>
      <c r="AM82" s="324" t="s">
        <v>602</v>
      </c>
      <c r="AN82" s="324" t="s">
        <v>602</v>
      </c>
      <c r="AO82" s="324" t="s">
        <v>602</v>
      </c>
      <c r="AP82" s="324" t="s">
        <v>602</v>
      </c>
      <c r="AQ82" s="324" t="s">
        <v>602</v>
      </c>
      <c r="AR82" s="279" t="s">
        <v>602</v>
      </c>
      <c r="AS82" s="293">
        <v>0</v>
      </c>
      <c r="AT82" s="327">
        <v>0</v>
      </c>
      <c r="AU82" s="327">
        <v>0</v>
      </c>
      <c r="AV82" s="328"/>
      <c r="AW82" s="324" t="s">
        <v>602</v>
      </c>
      <c r="AX82" s="324" t="s">
        <v>602</v>
      </c>
      <c r="AY82" s="324" t="s">
        <v>602</v>
      </c>
      <c r="AZ82" s="324" t="s">
        <v>602</v>
      </c>
      <c r="BA82" s="324"/>
      <c r="BB82" s="324" t="s">
        <v>602</v>
      </c>
      <c r="BC82" s="293"/>
      <c r="BD82" s="319"/>
      <c r="BE82" s="293"/>
      <c r="BF82" s="319"/>
      <c r="BG82" s="293"/>
      <c r="BH82" s="293"/>
      <c r="BI82" s="337">
        <v>30000</v>
      </c>
      <c r="BJ82" s="338">
        <v>0</v>
      </c>
      <c r="BK82" s="126" t="s">
        <v>844</v>
      </c>
    </row>
    <row r="83" spans="1:63" ht="15.75">
      <c r="A83" s="314">
        <v>501333</v>
      </c>
      <c r="B83" s="125" t="s">
        <v>841</v>
      </c>
      <c r="C83" s="124" t="s">
        <v>842</v>
      </c>
      <c r="D83" s="126">
        <v>205839</v>
      </c>
      <c r="E83" s="124" t="s">
        <v>649</v>
      </c>
      <c r="F83" s="124" t="s">
        <v>843</v>
      </c>
      <c r="G83" s="127" t="s">
        <v>46</v>
      </c>
      <c r="H83" s="126" t="s">
        <v>628</v>
      </c>
      <c r="I83" s="123" t="s">
        <v>703</v>
      </c>
      <c r="J83" s="126" t="s">
        <v>704</v>
      </c>
      <c r="K83" s="128" t="s">
        <v>705</v>
      </c>
      <c r="L83" s="121" t="s">
        <v>515</v>
      </c>
      <c r="M83" s="123" t="s">
        <v>797</v>
      </c>
      <c r="N83" s="129">
        <v>42614</v>
      </c>
      <c r="O83" s="129">
        <v>43830</v>
      </c>
      <c r="P83" s="129">
        <v>44144</v>
      </c>
      <c r="Q83" s="323">
        <v>276072</v>
      </c>
      <c r="R83" s="319"/>
      <c r="S83" s="324">
        <v>65000</v>
      </c>
      <c r="T83" s="324">
        <v>0</v>
      </c>
      <c r="U83" s="324">
        <v>15000</v>
      </c>
      <c r="V83" s="324"/>
      <c r="W83" s="324">
        <v>12024</v>
      </c>
      <c r="X83" s="324">
        <v>0</v>
      </c>
      <c r="Y83" s="312">
        <v>92024</v>
      </c>
      <c r="Z83" s="325">
        <v>92024</v>
      </c>
      <c r="AA83" s="325">
        <v>0</v>
      </c>
      <c r="AB83" s="326"/>
      <c r="AC83" s="324">
        <v>65000</v>
      </c>
      <c r="AD83" s="324">
        <v>0</v>
      </c>
      <c r="AE83" s="324">
        <v>15000</v>
      </c>
      <c r="AF83" s="324"/>
      <c r="AG83" s="324">
        <v>12024</v>
      </c>
      <c r="AH83" s="324"/>
      <c r="AI83" s="312">
        <v>92024</v>
      </c>
      <c r="AJ83" s="327">
        <v>92024</v>
      </c>
      <c r="AK83" s="327">
        <v>0</v>
      </c>
      <c r="AL83" s="328"/>
      <c r="AM83" s="279">
        <v>65000</v>
      </c>
      <c r="AN83" s="279">
        <v>0</v>
      </c>
      <c r="AO83" s="279">
        <v>15000</v>
      </c>
      <c r="AP83" s="279"/>
      <c r="AQ83" s="279">
        <v>12024</v>
      </c>
      <c r="AR83" s="279">
        <v>0</v>
      </c>
      <c r="AS83" s="293">
        <v>92024</v>
      </c>
      <c r="AT83" s="327">
        <v>92024</v>
      </c>
      <c r="AU83" s="327">
        <v>0</v>
      </c>
      <c r="AV83" s="328"/>
      <c r="AW83" s="279"/>
      <c r="AX83" s="279"/>
      <c r="AY83" s="279"/>
      <c r="AZ83" s="279"/>
      <c r="BA83" s="279"/>
      <c r="BB83" s="279"/>
      <c r="BC83" s="293"/>
      <c r="BD83" s="319"/>
      <c r="BE83" s="293"/>
      <c r="BF83" s="319"/>
      <c r="BG83" s="293"/>
      <c r="BH83" s="293"/>
      <c r="BI83" s="337">
        <v>276072</v>
      </c>
      <c r="BJ83" s="338">
        <v>0</v>
      </c>
      <c r="BK83" s="126"/>
    </row>
    <row r="84" spans="1:63" ht="15.75">
      <c r="A84" s="314">
        <v>502560</v>
      </c>
      <c r="B84" s="125" t="s">
        <v>841</v>
      </c>
      <c r="C84" s="124" t="s">
        <v>842</v>
      </c>
      <c r="D84" s="126">
        <v>205839</v>
      </c>
      <c r="E84" s="124" t="s">
        <v>649</v>
      </c>
      <c r="F84" s="124" t="s">
        <v>843</v>
      </c>
      <c r="G84" s="127" t="s">
        <v>46</v>
      </c>
      <c r="H84" s="126" t="s">
        <v>597</v>
      </c>
      <c r="I84" s="123" t="s">
        <v>703</v>
      </c>
      <c r="J84" s="126" t="s">
        <v>704</v>
      </c>
      <c r="K84" s="128" t="s">
        <v>705</v>
      </c>
      <c r="L84" s="121" t="s">
        <v>19</v>
      </c>
      <c r="M84" s="123" t="s">
        <v>798</v>
      </c>
      <c r="N84" s="129">
        <v>42826</v>
      </c>
      <c r="O84" s="129">
        <v>43555</v>
      </c>
      <c r="P84" s="129">
        <v>43555</v>
      </c>
      <c r="Q84" s="323">
        <v>116800</v>
      </c>
      <c r="R84" s="319"/>
      <c r="S84" s="324">
        <v>30000</v>
      </c>
      <c r="T84" s="324">
        <v>0</v>
      </c>
      <c r="U84" s="324">
        <v>28400</v>
      </c>
      <c r="V84" s="324">
        <v>0</v>
      </c>
      <c r="W84" s="324">
        <v>0</v>
      </c>
      <c r="X84" s="324">
        <v>0</v>
      </c>
      <c r="Y84" s="312">
        <v>58400</v>
      </c>
      <c r="Z84" s="325">
        <v>58400</v>
      </c>
      <c r="AA84" s="325">
        <v>0</v>
      </c>
      <c r="AB84" s="326"/>
      <c r="AC84" s="324">
        <v>30000</v>
      </c>
      <c r="AD84" s="324">
        <v>0</v>
      </c>
      <c r="AE84" s="324">
        <v>28400</v>
      </c>
      <c r="AF84" s="324">
        <v>0</v>
      </c>
      <c r="AG84" s="324">
        <v>0</v>
      </c>
      <c r="AH84" s="324"/>
      <c r="AI84" s="312">
        <v>58400</v>
      </c>
      <c r="AJ84" s="327">
        <v>58400</v>
      </c>
      <c r="AK84" s="327">
        <v>0</v>
      </c>
      <c r="AL84" s="339"/>
      <c r="AM84" s="324" t="s">
        <v>602</v>
      </c>
      <c r="AN84" s="324" t="s">
        <v>602</v>
      </c>
      <c r="AO84" s="324" t="s">
        <v>602</v>
      </c>
      <c r="AP84" s="324" t="s">
        <v>602</v>
      </c>
      <c r="AQ84" s="324" t="s">
        <v>602</v>
      </c>
      <c r="AR84" s="279" t="s">
        <v>602</v>
      </c>
      <c r="AS84" s="293">
        <v>0</v>
      </c>
      <c r="AT84" s="327">
        <v>0</v>
      </c>
      <c r="AU84" s="327">
        <v>0</v>
      </c>
      <c r="AV84" s="328"/>
      <c r="AW84" s="279"/>
      <c r="AX84" s="279"/>
      <c r="AY84" s="279"/>
      <c r="AZ84" s="279"/>
      <c r="BA84" s="279"/>
      <c r="BB84" s="279"/>
      <c r="BC84" s="293"/>
      <c r="BD84" s="319"/>
      <c r="BE84" s="293"/>
      <c r="BF84" s="319"/>
      <c r="BG84" s="293"/>
      <c r="BH84" s="293"/>
      <c r="BI84" s="337">
        <v>116800</v>
      </c>
      <c r="BJ84" s="338">
        <v>0</v>
      </c>
      <c r="BK84" s="126"/>
    </row>
    <row r="85" spans="1:63" ht="15.75">
      <c r="A85" s="314">
        <v>504321</v>
      </c>
      <c r="B85" s="125" t="s">
        <v>841</v>
      </c>
      <c r="C85" s="124" t="s">
        <v>842</v>
      </c>
      <c r="D85" s="126">
        <v>205839</v>
      </c>
      <c r="E85" s="124" t="s">
        <v>649</v>
      </c>
      <c r="F85" s="124" t="s">
        <v>843</v>
      </c>
      <c r="G85" s="127" t="s">
        <v>46</v>
      </c>
      <c r="H85" s="126" t="s">
        <v>597</v>
      </c>
      <c r="I85" s="123" t="s">
        <v>703</v>
      </c>
      <c r="J85" s="126" t="s">
        <v>704</v>
      </c>
      <c r="K85" s="128" t="s">
        <v>705</v>
      </c>
      <c r="L85" s="121" t="s">
        <v>517</v>
      </c>
      <c r="M85" s="123" t="s">
        <v>845</v>
      </c>
      <c r="N85" s="129">
        <v>43191</v>
      </c>
      <c r="O85" s="129">
        <v>44286</v>
      </c>
      <c r="P85" s="129">
        <v>44286</v>
      </c>
      <c r="Q85" s="323">
        <v>150000</v>
      </c>
      <c r="R85" s="319"/>
      <c r="S85" s="324">
        <v>50000</v>
      </c>
      <c r="T85" s="324">
        <v>0</v>
      </c>
      <c r="U85" s="324">
        <v>0</v>
      </c>
      <c r="V85" s="324"/>
      <c r="W85" s="324">
        <v>0</v>
      </c>
      <c r="X85" s="324">
        <v>0</v>
      </c>
      <c r="Y85" s="312">
        <v>50000</v>
      </c>
      <c r="Z85" s="325">
        <v>50000</v>
      </c>
      <c r="AA85" s="325">
        <v>0</v>
      </c>
      <c r="AB85" s="326"/>
      <c r="AC85" s="324">
        <v>50000</v>
      </c>
      <c r="AD85" s="324">
        <v>0</v>
      </c>
      <c r="AE85" s="324">
        <v>0</v>
      </c>
      <c r="AF85" s="324">
        <v>0</v>
      </c>
      <c r="AG85" s="324">
        <v>0</v>
      </c>
      <c r="AH85" s="324"/>
      <c r="AI85" s="312">
        <v>50000</v>
      </c>
      <c r="AJ85" s="327">
        <v>50000</v>
      </c>
      <c r="AK85" s="327">
        <v>0</v>
      </c>
      <c r="AL85" s="328"/>
      <c r="AM85" s="324">
        <v>50000</v>
      </c>
      <c r="AN85" s="324">
        <v>0</v>
      </c>
      <c r="AO85" s="324">
        <v>0</v>
      </c>
      <c r="AP85" s="324">
        <v>0</v>
      </c>
      <c r="AQ85" s="324">
        <v>0</v>
      </c>
      <c r="AR85" s="279">
        <v>0</v>
      </c>
      <c r="AS85" s="293">
        <v>50000</v>
      </c>
      <c r="AT85" s="327">
        <v>50000</v>
      </c>
      <c r="AU85" s="327">
        <v>0</v>
      </c>
      <c r="AV85" s="328"/>
      <c r="AW85" s="279"/>
      <c r="AX85" s="279"/>
      <c r="AY85" s="279"/>
      <c r="AZ85" s="279"/>
      <c r="BA85" s="279"/>
      <c r="BB85" s="279"/>
      <c r="BC85" s="293"/>
      <c r="BD85" s="319"/>
      <c r="BE85" s="293"/>
      <c r="BF85" s="319"/>
      <c r="BG85" s="293"/>
      <c r="BH85" s="293"/>
      <c r="BI85" s="337">
        <v>150000</v>
      </c>
      <c r="BJ85" s="338">
        <v>0</v>
      </c>
      <c r="BK85" s="126" t="s">
        <v>846</v>
      </c>
    </row>
    <row r="86" spans="1:63" ht="15.75">
      <c r="A86" s="314">
        <v>507639</v>
      </c>
      <c r="B86" s="125" t="s">
        <v>841</v>
      </c>
      <c r="C86" s="124" t="s">
        <v>842</v>
      </c>
      <c r="D86" s="126">
        <v>205839</v>
      </c>
      <c r="E86" s="124" t="s">
        <v>649</v>
      </c>
      <c r="F86" s="124" t="s">
        <v>843</v>
      </c>
      <c r="G86" s="127" t="s">
        <v>46</v>
      </c>
      <c r="H86" s="126" t="s">
        <v>628</v>
      </c>
      <c r="I86" s="123" t="s">
        <v>703</v>
      </c>
      <c r="J86" s="126" t="s">
        <v>704</v>
      </c>
      <c r="K86" s="128" t="s">
        <v>705</v>
      </c>
      <c r="L86" s="121" t="s">
        <v>519</v>
      </c>
      <c r="M86" s="123" t="s">
        <v>847</v>
      </c>
      <c r="N86" s="129">
        <v>43709</v>
      </c>
      <c r="O86" s="129">
        <v>44895</v>
      </c>
      <c r="P86" s="129">
        <v>44895</v>
      </c>
      <c r="Q86" s="323">
        <v>40000</v>
      </c>
      <c r="R86" s="319"/>
      <c r="S86" s="324"/>
      <c r="T86" s="324"/>
      <c r="U86" s="324">
        <v>40000</v>
      </c>
      <c r="V86" s="324"/>
      <c r="W86" s="324"/>
      <c r="X86" s="324"/>
      <c r="Y86" s="312">
        <v>40000</v>
      </c>
      <c r="Z86" s="325">
        <v>40000</v>
      </c>
      <c r="AA86" s="325">
        <v>0</v>
      </c>
      <c r="AB86" s="326"/>
      <c r="AC86" s="324"/>
      <c r="AD86" s="324"/>
      <c r="AE86" s="324">
        <v>0</v>
      </c>
      <c r="AF86" s="324"/>
      <c r="AG86" s="324"/>
      <c r="AH86" s="324"/>
      <c r="AI86" s="312">
        <v>0</v>
      </c>
      <c r="AJ86" s="327">
        <v>0</v>
      </c>
      <c r="AK86" s="327">
        <v>0</v>
      </c>
      <c r="AL86" s="328"/>
      <c r="AM86" s="324"/>
      <c r="AN86" s="324"/>
      <c r="AO86" s="324">
        <v>0</v>
      </c>
      <c r="AP86" s="324"/>
      <c r="AQ86" s="279"/>
      <c r="AR86" s="279"/>
      <c r="AS86" s="293">
        <v>0</v>
      </c>
      <c r="AT86" s="327">
        <v>0</v>
      </c>
      <c r="AU86" s="327">
        <v>0</v>
      </c>
      <c r="AV86" s="328"/>
      <c r="AW86" s="279"/>
      <c r="AX86" s="279"/>
      <c r="AY86" s="279"/>
      <c r="AZ86" s="279"/>
      <c r="BA86" s="279"/>
      <c r="BB86" s="279"/>
      <c r="BC86" s="293"/>
      <c r="BD86" s="319"/>
      <c r="BE86" s="293"/>
      <c r="BF86" s="319"/>
      <c r="BG86" s="293"/>
      <c r="BH86" s="293"/>
      <c r="BI86" s="337">
        <v>40000</v>
      </c>
      <c r="BJ86" s="338">
        <v>0</v>
      </c>
      <c r="BK86" s="126" t="s">
        <v>848</v>
      </c>
    </row>
    <row r="87" spans="1:63" ht="15.75">
      <c r="A87" s="314">
        <v>499935</v>
      </c>
      <c r="B87" s="125" t="s">
        <v>849</v>
      </c>
      <c r="C87" s="124" t="s">
        <v>850</v>
      </c>
      <c r="D87" s="126">
        <v>205982</v>
      </c>
      <c r="E87" s="121" t="s">
        <v>851</v>
      </c>
      <c r="F87" s="121" t="s">
        <v>852</v>
      </c>
      <c r="G87" s="127" t="s">
        <v>46</v>
      </c>
      <c r="H87" s="123" t="s">
        <v>597</v>
      </c>
      <c r="I87" s="123" t="s">
        <v>703</v>
      </c>
      <c r="J87" s="126" t="s">
        <v>774</v>
      </c>
      <c r="K87" s="128" t="s">
        <v>775</v>
      </c>
      <c r="L87" s="121" t="s">
        <v>637</v>
      </c>
      <c r="M87" s="123" t="s">
        <v>638</v>
      </c>
      <c r="N87" s="129">
        <v>42248</v>
      </c>
      <c r="O87" s="129">
        <v>42460</v>
      </c>
      <c r="P87" s="129">
        <v>42668</v>
      </c>
      <c r="Q87" s="330">
        <v>23000</v>
      </c>
      <c r="R87" s="324">
        <v>23000</v>
      </c>
      <c r="S87" s="324"/>
      <c r="T87" s="324">
        <v>0</v>
      </c>
      <c r="U87" s="324">
        <v>0</v>
      </c>
      <c r="V87" s="324"/>
      <c r="W87" s="324">
        <v>0</v>
      </c>
      <c r="X87" s="324">
        <v>0</v>
      </c>
      <c r="Y87" s="312">
        <v>23000</v>
      </c>
      <c r="Z87" s="325">
        <v>23000</v>
      </c>
      <c r="AA87" s="325">
        <v>0</v>
      </c>
      <c r="AB87" s="326"/>
      <c r="AC87" s="324" t="s">
        <v>602</v>
      </c>
      <c r="AD87" s="324" t="s">
        <v>602</v>
      </c>
      <c r="AE87" s="324" t="s">
        <v>602</v>
      </c>
      <c r="AF87" s="324" t="s">
        <v>602</v>
      </c>
      <c r="AG87" s="324" t="s">
        <v>602</v>
      </c>
      <c r="AH87" s="324"/>
      <c r="AI87" s="312">
        <v>0</v>
      </c>
      <c r="AJ87" s="327">
        <v>0</v>
      </c>
      <c r="AK87" s="327">
        <v>0</v>
      </c>
      <c r="AL87" s="328"/>
      <c r="AM87" s="324">
        <v>0</v>
      </c>
      <c r="AN87" s="324">
        <v>0</v>
      </c>
      <c r="AO87" s="324">
        <v>0</v>
      </c>
      <c r="AP87" s="324">
        <v>0</v>
      </c>
      <c r="AQ87" s="324">
        <v>0</v>
      </c>
      <c r="AR87" s="324">
        <v>0</v>
      </c>
      <c r="AS87" s="293">
        <v>0</v>
      </c>
      <c r="AT87" s="327">
        <v>0</v>
      </c>
      <c r="AU87" s="327">
        <v>0</v>
      </c>
      <c r="AV87" s="328"/>
      <c r="AW87" s="324" t="s">
        <v>602</v>
      </c>
      <c r="AX87" s="324" t="s">
        <v>602</v>
      </c>
      <c r="AY87" s="324" t="s">
        <v>602</v>
      </c>
      <c r="AZ87" s="324" t="s">
        <v>602</v>
      </c>
      <c r="BA87" s="324"/>
      <c r="BB87" s="324" t="s">
        <v>602</v>
      </c>
      <c r="BC87" s="293"/>
      <c r="BD87" s="319"/>
      <c r="BE87" s="293"/>
      <c r="BF87" s="319"/>
      <c r="BG87" s="293"/>
      <c r="BH87" s="293"/>
      <c r="BI87" s="337">
        <v>23000</v>
      </c>
      <c r="BJ87" s="338">
        <v>0</v>
      </c>
      <c r="BK87" s="280" t="s">
        <v>844</v>
      </c>
    </row>
    <row r="88" spans="1:63" ht="15.75">
      <c r="A88" s="314">
        <v>501339</v>
      </c>
      <c r="B88" s="125" t="s">
        <v>853</v>
      </c>
      <c r="C88" s="123" t="s">
        <v>854</v>
      </c>
      <c r="D88" s="126">
        <v>205993</v>
      </c>
      <c r="E88" s="121" t="s">
        <v>855</v>
      </c>
      <c r="F88" s="121" t="s">
        <v>856</v>
      </c>
      <c r="G88" s="127" t="s">
        <v>46</v>
      </c>
      <c r="H88" s="123" t="s">
        <v>628</v>
      </c>
      <c r="I88" s="126" t="s">
        <v>609</v>
      </c>
      <c r="J88" s="126" t="s">
        <v>710</v>
      </c>
      <c r="K88" s="128" t="s">
        <v>711</v>
      </c>
      <c r="L88" s="121" t="s">
        <v>515</v>
      </c>
      <c r="M88" s="143" t="s">
        <v>857</v>
      </c>
      <c r="N88" s="129">
        <v>42614</v>
      </c>
      <c r="O88" s="129">
        <v>43951</v>
      </c>
      <c r="P88" s="129">
        <v>44117</v>
      </c>
      <c r="Q88" s="330">
        <v>293840</v>
      </c>
      <c r="R88" s="331"/>
      <c r="S88" s="324">
        <v>76000</v>
      </c>
      <c r="T88" s="324">
        <v>1160</v>
      </c>
      <c r="U88" s="324">
        <v>15000</v>
      </c>
      <c r="V88" s="324"/>
      <c r="W88" s="324">
        <v>6000</v>
      </c>
      <c r="X88" s="324">
        <v>0</v>
      </c>
      <c r="Y88" s="312">
        <v>98160</v>
      </c>
      <c r="Z88" s="325">
        <v>98160</v>
      </c>
      <c r="AA88" s="325">
        <v>0</v>
      </c>
      <c r="AB88" s="326"/>
      <c r="AC88" s="324">
        <v>76000</v>
      </c>
      <c r="AD88" s="324">
        <v>0</v>
      </c>
      <c r="AE88" s="324">
        <v>15000</v>
      </c>
      <c r="AF88" s="324">
        <v>6000</v>
      </c>
      <c r="AG88" s="324">
        <v>0</v>
      </c>
      <c r="AH88" s="324"/>
      <c r="AI88" s="312">
        <v>97000</v>
      </c>
      <c r="AJ88" s="327">
        <v>97000</v>
      </c>
      <c r="AK88" s="327">
        <v>0</v>
      </c>
      <c r="AL88" s="328"/>
      <c r="AM88" s="279">
        <v>76000</v>
      </c>
      <c r="AN88" s="279">
        <v>1680</v>
      </c>
      <c r="AO88" s="279">
        <v>15000</v>
      </c>
      <c r="AP88" s="279"/>
      <c r="AQ88" s="279">
        <v>6000</v>
      </c>
      <c r="AR88" s="279">
        <v>0</v>
      </c>
      <c r="AS88" s="293">
        <v>98680</v>
      </c>
      <c r="AT88" s="327">
        <v>98680</v>
      </c>
      <c r="AU88" s="327">
        <v>0</v>
      </c>
      <c r="AV88" s="328"/>
      <c r="AW88" s="279"/>
      <c r="AX88" s="279"/>
      <c r="AY88" s="279"/>
      <c r="AZ88" s="279"/>
      <c r="BA88" s="279"/>
      <c r="BB88" s="279"/>
      <c r="BC88" s="293"/>
      <c r="BD88" s="319"/>
      <c r="BE88" s="293"/>
      <c r="BF88" s="319"/>
      <c r="BG88" s="293"/>
      <c r="BH88" s="293"/>
      <c r="BI88" s="337">
        <v>293840</v>
      </c>
      <c r="BJ88" s="338">
        <v>0</v>
      </c>
      <c r="BK88" s="280"/>
    </row>
    <row r="89" spans="1:63" ht="15.75">
      <c r="A89" s="314">
        <v>506459</v>
      </c>
      <c r="B89" s="125" t="s">
        <v>853</v>
      </c>
      <c r="C89" s="124" t="s">
        <v>854</v>
      </c>
      <c r="D89" s="126">
        <v>205993</v>
      </c>
      <c r="E89" s="123" t="s">
        <v>855</v>
      </c>
      <c r="F89" s="121" t="s">
        <v>856</v>
      </c>
      <c r="G89" s="127" t="s">
        <v>46</v>
      </c>
      <c r="H89" s="126" t="s">
        <v>597</v>
      </c>
      <c r="I89" s="126" t="s">
        <v>609</v>
      </c>
      <c r="J89" s="126" t="s">
        <v>710</v>
      </c>
      <c r="K89" s="128" t="s">
        <v>711</v>
      </c>
      <c r="L89" s="121" t="s">
        <v>19</v>
      </c>
      <c r="M89" s="126" t="s">
        <v>858</v>
      </c>
      <c r="N89" s="129">
        <v>43556</v>
      </c>
      <c r="O89" s="129">
        <v>44377</v>
      </c>
      <c r="P89" s="129">
        <v>44377</v>
      </c>
      <c r="Q89" s="330">
        <v>72000</v>
      </c>
      <c r="R89" s="331"/>
      <c r="S89" s="324">
        <v>22000</v>
      </c>
      <c r="T89" s="324">
        <v>0</v>
      </c>
      <c r="U89" s="324">
        <v>8000</v>
      </c>
      <c r="V89" s="324">
        <v>0</v>
      </c>
      <c r="W89" s="324">
        <v>6000</v>
      </c>
      <c r="X89" s="324">
        <v>0</v>
      </c>
      <c r="Y89" s="312">
        <v>36000</v>
      </c>
      <c r="Z89" s="325">
        <v>36000</v>
      </c>
      <c r="AA89" s="325">
        <v>0</v>
      </c>
      <c r="AB89" s="326"/>
      <c r="AC89" s="324">
        <v>22000</v>
      </c>
      <c r="AD89" s="324">
        <v>0</v>
      </c>
      <c r="AE89" s="324">
        <v>8000</v>
      </c>
      <c r="AF89" s="324">
        <v>0</v>
      </c>
      <c r="AG89" s="324">
        <v>6000</v>
      </c>
      <c r="AH89" s="283">
        <v>0</v>
      </c>
      <c r="AI89" s="312">
        <v>36000</v>
      </c>
      <c r="AJ89" s="327">
        <v>36000</v>
      </c>
      <c r="AK89" s="327">
        <v>0</v>
      </c>
      <c r="AL89" s="339"/>
      <c r="AM89" s="324">
        <v>0</v>
      </c>
      <c r="AN89" s="324">
        <v>0</v>
      </c>
      <c r="AO89" s="324">
        <v>0</v>
      </c>
      <c r="AP89" s="324">
        <v>0</v>
      </c>
      <c r="AQ89" s="324">
        <v>0</v>
      </c>
      <c r="AR89" s="324">
        <v>0</v>
      </c>
      <c r="AS89" s="293"/>
      <c r="AT89" s="327">
        <v>0</v>
      </c>
      <c r="AU89" s="327">
        <v>0</v>
      </c>
      <c r="AV89" s="121"/>
      <c r="AW89" s="153"/>
      <c r="AX89" s="153"/>
      <c r="AY89" s="153"/>
      <c r="AZ89" s="153"/>
      <c r="BA89" s="153"/>
      <c r="BB89" s="153"/>
      <c r="BC89" s="154"/>
      <c r="BD89" s="99"/>
      <c r="BE89" s="154"/>
      <c r="BF89" s="99"/>
      <c r="BG89" s="154"/>
      <c r="BH89" s="154"/>
      <c r="BI89" s="337">
        <v>72000</v>
      </c>
      <c r="BJ89" s="338">
        <v>0</v>
      </c>
      <c r="BK89" s="282" t="s">
        <v>821</v>
      </c>
    </row>
    <row r="90" spans="1:63" ht="15.75">
      <c r="A90" s="314">
        <v>507637</v>
      </c>
      <c r="B90" s="125" t="s">
        <v>859</v>
      </c>
      <c r="C90" s="124" t="s">
        <v>860</v>
      </c>
      <c r="D90" s="126">
        <v>206014</v>
      </c>
      <c r="E90" s="124" t="s">
        <v>861</v>
      </c>
      <c r="F90" s="124" t="s">
        <v>862</v>
      </c>
      <c r="G90" s="127" t="s">
        <v>46</v>
      </c>
      <c r="H90" s="126" t="s">
        <v>628</v>
      </c>
      <c r="I90" s="126" t="s">
        <v>598</v>
      </c>
      <c r="J90" s="126" t="s">
        <v>650</v>
      </c>
      <c r="K90" s="128" t="s">
        <v>630</v>
      </c>
      <c r="L90" s="121" t="s">
        <v>519</v>
      </c>
      <c r="M90" s="123" t="s">
        <v>736</v>
      </c>
      <c r="N90" s="129">
        <v>43709</v>
      </c>
      <c r="O90" s="129">
        <v>44895</v>
      </c>
      <c r="P90" s="129">
        <v>44895</v>
      </c>
      <c r="Q90" s="323">
        <v>122400</v>
      </c>
      <c r="R90" s="319"/>
      <c r="S90" s="324">
        <v>20000</v>
      </c>
      <c r="T90" s="324"/>
      <c r="U90" s="324">
        <v>20800</v>
      </c>
      <c r="V90" s="324"/>
      <c r="W90" s="324"/>
      <c r="X90" s="324"/>
      <c r="Y90" s="312">
        <v>40800</v>
      </c>
      <c r="Z90" s="325">
        <v>40800</v>
      </c>
      <c r="AA90" s="325">
        <v>0</v>
      </c>
      <c r="AB90" s="326"/>
      <c r="AC90" s="324">
        <v>20000</v>
      </c>
      <c r="AD90" s="324"/>
      <c r="AE90" s="324">
        <v>20800</v>
      </c>
      <c r="AF90" s="324"/>
      <c r="AG90" s="324"/>
      <c r="AH90" s="324"/>
      <c r="AI90" s="312">
        <v>40800</v>
      </c>
      <c r="AJ90" s="327">
        <v>40800</v>
      </c>
      <c r="AK90" s="327">
        <v>0</v>
      </c>
      <c r="AL90" s="328"/>
      <c r="AM90" s="324">
        <v>20000</v>
      </c>
      <c r="AN90" s="324"/>
      <c r="AO90" s="324">
        <v>20800</v>
      </c>
      <c r="AP90" s="279"/>
      <c r="AQ90" s="279"/>
      <c r="AR90" s="279"/>
      <c r="AS90" s="293">
        <v>40800</v>
      </c>
      <c r="AT90" s="327">
        <v>40800</v>
      </c>
      <c r="AU90" s="327">
        <v>0</v>
      </c>
      <c r="AV90" s="328"/>
      <c r="AW90" s="279"/>
      <c r="AX90" s="279"/>
      <c r="AY90" s="279"/>
      <c r="AZ90" s="279"/>
      <c r="BA90" s="279"/>
      <c r="BB90" s="279"/>
      <c r="BC90" s="293"/>
      <c r="BD90" s="319"/>
      <c r="BE90" s="293"/>
      <c r="BF90" s="319"/>
      <c r="BG90" s="293"/>
      <c r="BH90" s="293"/>
      <c r="BI90" s="337">
        <v>122400</v>
      </c>
      <c r="BJ90" s="338">
        <v>0</v>
      </c>
      <c r="BK90" s="126"/>
    </row>
    <row r="91" spans="1:63" ht="15.75">
      <c r="A91" s="314">
        <v>501347</v>
      </c>
      <c r="B91" s="125" t="s">
        <v>863</v>
      </c>
      <c r="C91" s="124" t="s">
        <v>310</v>
      </c>
      <c r="D91" s="126">
        <v>206121</v>
      </c>
      <c r="E91" s="121" t="s">
        <v>864</v>
      </c>
      <c r="F91" s="121" t="s">
        <v>865</v>
      </c>
      <c r="G91" s="127" t="s">
        <v>46</v>
      </c>
      <c r="H91" s="126" t="s">
        <v>628</v>
      </c>
      <c r="I91" s="126" t="s">
        <v>609</v>
      </c>
      <c r="J91" s="126" t="s">
        <v>818</v>
      </c>
      <c r="K91" s="128" t="s">
        <v>866</v>
      </c>
      <c r="L91" s="124" t="s">
        <v>515</v>
      </c>
      <c r="M91" s="126" t="s">
        <v>867</v>
      </c>
      <c r="N91" s="129">
        <v>42614</v>
      </c>
      <c r="O91" s="129">
        <v>43708</v>
      </c>
      <c r="P91" s="129">
        <v>43708</v>
      </c>
      <c r="Q91" s="330">
        <v>280483</v>
      </c>
      <c r="R91" s="331"/>
      <c r="S91" s="324">
        <v>81561</v>
      </c>
      <c r="T91" s="324">
        <v>0</v>
      </c>
      <c r="U91" s="324">
        <v>10900</v>
      </c>
      <c r="V91" s="324"/>
      <c r="W91" s="324">
        <v>5000</v>
      </c>
      <c r="X91" s="324">
        <v>0</v>
      </c>
      <c r="Y91" s="312">
        <v>97461</v>
      </c>
      <c r="Z91" s="325">
        <v>97461</v>
      </c>
      <c r="AA91" s="325">
        <v>0</v>
      </c>
      <c r="AB91" s="326"/>
      <c r="AC91" s="324">
        <v>72561</v>
      </c>
      <c r="AD91" s="324">
        <v>0</v>
      </c>
      <c r="AE91" s="324">
        <v>13950</v>
      </c>
      <c r="AF91" s="324">
        <v>5000</v>
      </c>
      <c r="AG91" s="324">
        <v>0</v>
      </c>
      <c r="AH91" s="324"/>
      <c r="AI91" s="312">
        <v>91511</v>
      </c>
      <c r="AJ91" s="327">
        <v>91511</v>
      </c>
      <c r="AK91" s="327">
        <v>0</v>
      </c>
      <c r="AL91" s="328"/>
      <c r="AM91" s="279">
        <v>72561</v>
      </c>
      <c r="AN91" s="279">
        <v>0</v>
      </c>
      <c r="AO91" s="279">
        <v>13950</v>
      </c>
      <c r="AP91" s="279"/>
      <c r="AQ91" s="279">
        <v>5000</v>
      </c>
      <c r="AR91" s="279">
        <v>0</v>
      </c>
      <c r="AS91" s="293">
        <v>91511</v>
      </c>
      <c r="AT91" s="327">
        <v>91511</v>
      </c>
      <c r="AU91" s="327">
        <v>0</v>
      </c>
      <c r="AV91" s="328"/>
      <c r="AW91" s="279"/>
      <c r="AX91" s="279"/>
      <c r="AY91" s="279"/>
      <c r="AZ91" s="279"/>
      <c r="BA91" s="279"/>
      <c r="BB91" s="279"/>
      <c r="BC91" s="293">
        <v>0</v>
      </c>
      <c r="BD91" s="319"/>
      <c r="BE91" s="293"/>
      <c r="BF91" s="319"/>
      <c r="BG91" s="293"/>
      <c r="BH91" s="293"/>
      <c r="BI91" s="337">
        <v>280483</v>
      </c>
      <c r="BJ91" s="338">
        <v>0</v>
      </c>
      <c r="BK91" s="280"/>
    </row>
    <row r="92" spans="1:63" ht="15.75">
      <c r="A92" s="314">
        <v>507777</v>
      </c>
      <c r="B92" s="332" t="s">
        <v>863</v>
      </c>
      <c r="C92" s="124" t="s">
        <v>310</v>
      </c>
      <c r="D92" s="126">
        <v>206121</v>
      </c>
      <c r="E92" s="124" t="s">
        <v>864</v>
      </c>
      <c r="F92" s="124" t="s">
        <v>865</v>
      </c>
      <c r="G92" s="127" t="s">
        <v>46</v>
      </c>
      <c r="H92" s="126" t="s">
        <v>628</v>
      </c>
      <c r="I92" s="126" t="s">
        <v>609</v>
      </c>
      <c r="J92" s="126" t="s">
        <v>818</v>
      </c>
      <c r="K92" s="128" t="s">
        <v>866</v>
      </c>
      <c r="L92" s="121" t="s">
        <v>519</v>
      </c>
      <c r="M92" s="123" t="s">
        <v>769</v>
      </c>
      <c r="N92" s="129">
        <v>43709</v>
      </c>
      <c r="O92" s="129">
        <v>44895</v>
      </c>
      <c r="P92" s="129">
        <v>44895</v>
      </c>
      <c r="Q92" s="323">
        <v>321480</v>
      </c>
      <c r="R92" s="319"/>
      <c r="S92" s="324">
        <v>96049.919999999998</v>
      </c>
      <c r="T92" s="324">
        <v>11520</v>
      </c>
      <c r="U92" s="324">
        <v>6480</v>
      </c>
      <c r="V92" s="324">
        <v>0</v>
      </c>
      <c r="W92" s="324">
        <v>790.08</v>
      </c>
      <c r="X92" s="324">
        <v>0</v>
      </c>
      <c r="Y92" s="312">
        <v>114840</v>
      </c>
      <c r="Z92" s="325">
        <v>114840</v>
      </c>
      <c r="AA92" s="325">
        <v>0</v>
      </c>
      <c r="AB92" s="326"/>
      <c r="AC92" s="324">
        <v>99200.61</v>
      </c>
      <c r="AD92" s="324">
        <v>0</v>
      </c>
      <c r="AE92" s="324">
        <v>3934.05</v>
      </c>
      <c r="AF92" s="324">
        <v>185.34000000000015</v>
      </c>
      <c r="AG92" s="324">
        <v>0</v>
      </c>
      <c r="AH92" s="324">
        <v>0</v>
      </c>
      <c r="AI92" s="312">
        <v>103320</v>
      </c>
      <c r="AJ92" s="327">
        <v>103320</v>
      </c>
      <c r="AK92" s="327">
        <v>0</v>
      </c>
      <c r="AL92" s="328"/>
      <c r="AM92" s="324">
        <v>88920</v>
      </c>
      <c r="AN92" s="324">
        <v>0</v>
      </c>
      <c r="AO92" s="324">
        <v>6480</v>
      </c>
      <c r="AP92" s="324">
        <v>2880</v>
      </c>
      <c r="AQ92" s="324">
        <v>5040</v>
      </c>
      <c r="AR92" s="324">
        <v>0</v>
      </c>
      <c r="AS92" s="293">
        <v>103320</v>
      </c>
      <c r="AT92" s="327">
        <v>103320</v>
      </c>
      <c r="AU92" s="327">
        <v>0</v>
      </c>
      <c r="AV92" s="328"/>
      <c r="AW92" s="279"/>
      <c r="AX92" s="279"/>
      <c r="AY92" s="279"/>
      <c r="AZ92" s="279"/>
      <c r="BA92" s="279"/>
      <c r="BB92" s="279"/>
      <c r="BC92" s="293"/>
      <c r="BD92" s="319"/>
      <c r="BE92" s="293"/>
      <c r="BF92" s="319"/>
      <c r="BG92" s="293"/>
      <c r="BH92" s="293"/>
      <c r="BI92" s="337">
        <v>321480</v>
      </c>
      <c r="BJ92" s="338">
        <v>0</v>
      </c>
      <c r="BK92" s="126"/>
    </row>
    <row r="93" spans="1:63" ht="15.75">
      <c r="A93" s="314">
        <v>499994</v>
      </c>
      <c r="B93" s="125" t="s">
        <v>868</v>
      </c>
      <c r="C93" s="124" t="s">
        <v>292</v>
      </c>
      <c r="D93" s="126">
        <v>206130</v>
      </c>
      <c r="E93" s="148" t="s">
        <v>869</v>
      </c>
      <c r="F93" s="148" t="s">
        <v>870</v>
      </c>
      <c r="G93" s="127" t="s">
        <v>46</v>
      </c>
      <c r="H93" s="149" t="s">
        <v>597</v>
      </c>
      <c r="I93" s="126" t="s">
        <v>609</v>
      </c>
      <c r="J93" s="126" t="s">
        <v>818</v>
      </c>
      <c r="K93" s="128" t="s">
        <v>866</v>
      </c>
      <c r="L93" s="121" t="s">
        <v>637</v>
      </c>
      <c r="M93" s="123" t="s">
        <v>638</v>
      </c>
      <c r="N93" s="129">
        <v>42248</v>
      </c>
      <c r="O93" s="129">
        <v>42643</v>
      </c>
      <c r="P93" s="129">
        <v>42668</v>
      </c>
      <c r="Q93" s="330">
        <v>15000</v>
      </c>
      <c r="R93" s="324">
        <v>15000</v>
      </c>
      <c r="S93" s="324"/>
      <c r="T93" s="324">
        <v>0</v>
      </c>
      <c r="U93" s="324">
        <v>0</v>
      </c>
      <c r="V93" s="324"/>
      <c r="W93" s="324">
        <v>0</v>
      </c>
      <c r="X93" s="324">
        <v>0</v>
      </c>
      <c r="Y93" s="312">
        <v>15000</v>
      </c>
      <c r="Z93" s="325">
        <v>15000</v>
      </c>
      <c r="AA93" s="325">
        <v>0</v>
      </c>
      <c r="AB93" s="326"/>
      <c r="AC93" s="324" t="s">
        <v>602</v>
      </c>
      <c r="AD93" s="324" t="s">
        <v>602</v>
      </c>
      <c r="AE93" s="324" t="s">
        <v>602</v>
      </c>
      <c r="AF93" s="324" t="s">
        <v>602</v>
      </c>
      <c r="AG93" s="324" t="s">
        <v>602</v>
      </c>
      <c r="AH93" s="324"/>
      <c r="AI93" s="312">
        <v>0</v>
      </c>
      <c r="AJ93" s="327">
        <v>0</v>
      </c>
      <c r="AK93" s="327">
        <v>0</v>
      </c>
      <c r="AL93" s="328"/>
      <c r="AM93" s="324">
        <v>0</v>
      </c>
      <c r="AN93" s="324">
        <v>0</v>
      </c>
      <c r="AO93" s="324">
        <v>0</v>
      </c>
      <c r="AP93" s="324">
        <v>0</v>
      </c>
      <c r="AQ93" s="324">
        <v>0</v>
      </c>
      <c r="AR93" s="324">
        <v>0</v>
      </c>
      <c r="AS93" s="293">
        <v>0</v>
      </c>
      <c r="AT93" s="327">
        <v>0</v>
      </c>
      <c r="AU93" s="327">
        <v>0</v>
      </c>
      <c r="AV93" s="328"/>
      <c r="AW93" s="324" t="s">
        <v>602</v>
      </c>
      <c r="AX93" s="324" t="s">
        <v>602</v>
      </c>
      <c r="AY93" s="324" t="s">
        <v>602</v>
      </c>
      <c r="AZ93" s="324" t="s">
        <v>602</v>
      </c>
      <c r="BA93" s="324"/>
      <c r="BB93" s="324" t="s">
        <v>602</v>
      </c>
      <c r="BC93" s="293"/>
      <c r="BD93" s="319"/>
      <c r="BE93" s="293"/>
      <c r="BF93" s="319"/>
      <c r="BG93" s="293"/>
      <c r="BH93" s="293"/>
      <c r="BI93" s="337">
        <v>15000</v>
      </c>
      <c r="BJ93" s="338">
        <v>0</v>
      </c>
      <c r="BK93" s="280"/>
    </row>
    <row r="94" spans="1:63" ht="15.75">
      <c r="A94" s="314">
        <v>501336</v>
      </c>
      <c r="B94" s="125" t="s">
        <v>868</v>
      </c>
      <c r="C94" s="124" t="s">
        <v>292</v>
      </c>
      <c r="D94" s="126">
        <v>206130</v>
      </c>
      <c r="E94" s="148" t="s">
        <v>869</v>
      </c>
      <c r="F94" s="148" t="s">
        <v>870</v>
      </c>
      <c r="G94" s="127" t="s">
        <v>46</v>
      </c>
      <c r="H94" s="149" t="s">
        <v>628</v>
      </c>
      <c r="I94" s="126" t="s">
        <v>609</v>
      </c>
      <c r="J94" s="126" t="s">
        <v>818</v>
      </c>
      <c r="K94" s="128" t="s">
        <v>866</v>
      </c>
      <c r="L94" s="121" t="s">
        <v>515</v>
      </c>
      <c r="M94" s="123" t="s">
        <v>712</v>
      </c>
      <c r="N94" s="129">
        <v>42614</v>
      </c>
      <c r="O94" s="129">
        <v>43708</v>
      </c>
      <c r="P94" s="129">
        <v>44145</v>
      </c>
      <c r="Q94" s="330">
        <v>570450</v>
      </c>
      <c r="R94" s="331"/>
      <c r="S94" s="324">
        <v>108250</v>
      </c>
      <c r="T94" s="324">
        <v>16500</v>
      </c>
      <c r="U94" s="324">
        <v>59900</v>
      </c>
      <c r="V94" s="324"/>
      <c r="W94" s="324">
        <v>5500</v>
      </c>
      <c r="X94" s="324">
        <v>0</v>
      </c>
      <c r="Y94" s="312">
        <v>190150</v>
      </c>
      <c r="Z94" s="325">
        <v>190150</v>
      </c>
      <c r="AA94" s="325">
        <v>0</v>
      </c>
      <c r="AB94" s="326"/>
      <c r="AC94" s="324">
        <v>108250</v>
      </c>
      <c r="AD94" s="324">
        <v>16500</v>
      </c>
      <c r="AE94" s="324">
        <v>59900</v>
      </c>
      <c r="AF94" s="324">
        <v>5500</v>
      </c>
      <c r="AG94" s="324">
        <v>0</v>
      </c>
      <c r="AH94" s="324"/>
      <c r="AI94" s="312">
        <v>190150</v>
      </c>
      <c r="AJ94" s="327">
        <v>190150</v>
      </c>
      <c r="AK94" s="327">
        <v>0</v>
      </c>
      <c r="AL94" s="328"/>
      <c r="AM94" s="279">
        <v>108250</v>
      </c>
      <c r="AN94" s="279">
        <v>16500</v>
      </c>
      <c r="AO94" s="279">
        <v>59900</v>
      </c>
      <c r="AP94" s="279"/>
      <c r="AQ94" s="279">
        <v>5500</v>
      </c>
      <c r="AR94" s="279">
        <v>0</v>
      </c>
      <c r="AS94" s="293">
        <v>190150</v>
      </c>
      <c r="AT94" s="327">
        <v>190150</v>
      </c>
      <c r="AU94" s="327">
        <v>0</v>
      </c>
      <c r="AV94" s="328"/>
      <c r="AW94" s="279"/>
      <c r="AX94" s="279"/>
      <c r="AY94" s="279"/>
      <c r="AZ94" s="279"/>
      <c r="BA94" s="279"/>
      <c r="BB94" s="279"/>
      <c r="BC94" s="293"/>
      <c r="BD94" s="319"/>
      <c r="BE94" s="293"/>
      <c r="BF94" s="319"/>
      <c r="BG94" s="293"/>
      <c r="BH94" s="293"/>
      <c r="BI94" s="337">
        <v>570450</v>
      </c>
      <c r="BJ94" s="338">
        <v>0</v>
      </c>
      <c r="BK94" s="280"/>
    </row>
    <row r="95" spans="1:63" ht="15.75">
      <c r="A95" s="314">
        <v>507693</v>
      </c>
      <c r="B95" s="125" t="s">
        <v>868</v>
      </c>
      <c r="C95" s="124" t="s">
        <v>292</v>
      </c>
      <c r="D95" s="126">
        <v>206130</v>
      </c>
      <c r="E95" s="123" t="s">
        <v>869</v>
      </c>
      <c r="F95" s="121" t="s">
        <v>870</v>
      </c>
      <c r="G95" s="127" t="s">
        <v>46</v>
      </c>
      <c r="H95" s="126" t="s">
        <v>628</v>
      </c>
      <c r="I95" s="126" t="s">
        <v>609</v>
      </c>
      <c r="J95" s="126" t="s">
        <v>818</v>
      </c>
      <c r="K95" s="128" t="s">
        <v>866</v>
      </c>
      <c r="L95" s="121" t="s">
        <v>519</v>
      </c>
      <c r="M95" s="126" t="s">
        <v>717</v>
      </c>
      <c r="N95" s="129">
        <v>43709</v>
      </c>
      <c r="O95" s="129">
        <v>44895</v>
      </c>
      <c r="P95" s="129">
        <v>44895</v>
      </c>
      <c r="Q95" s="323">
        <v>301050</v>
      </c>
      <c r="R95" s="319"/>
      <c r="S95" s="324">
        <v>77000</v>
      </c>
      <c r="T95" s="324"/>
      <c r="U95" s="324">
        <v>13350</v>
      </c>
      <c r="V95" s="324"/>
      <c r="W95" s="324">
        <v>10000</v>
      </c>
      <c r="X95" s="324"/>
      <c r="Y95" s="312">
        <v>100350</v>
      </c>
      <c r="Z95" s="325">
        <v>100350</v>
      </c>
      <c r="AA95" s="325">
        <v>0</v>
      </c>
      <c r="AB95" s="326"/>
      <c r="AC95" s="324">
        <v>77000</v>
      </c>
      <c r="AD95" s="324"/>
      <c r="AE95" s="324">
        <v>20311.68</v>
      </c>
      <c r="AF95" s="324"/>
      <c r="AG95" s="324">
        <v>3038.3199999999997</v>
      </c>
      <c r="AH95" s="324"/>
      <c r="AI95" s="312">
        <v>100350</v>
      </c>
      <c r="AJ95" s="327">
        <v>100350</v>
      </c>
      <c r="AK95" s="327">
        <v>0</v>
      </c>
      <c r="AL95" s="121"/>
      <c r="AM95" s="324">
        <v>77000</v>
      </c>
      <c r="AN95" s="324"/>
      <c r="AO95" s="324">
        <v>13350</v>
      </c>
      <c r="AP95" s="324"/>
      <c r="AQ95" s="324">
        <v>10000</v>
      </c>
      <c r="AR95" s="324"/>
      <c r="AS95" s="293">
        <v>100350</v>
      </c>
      <c r="AT95" s="327">
        <v>100350</v>
      </c>
      <c r="AU95" s="327">
        <v>0</v>
      </c>
      <c r="AV95" s="121"/>
      <c r="AW95" s="153"/>
      <c r="AX95" s="153"/>
      <c r="AY95" s="153"/>
      <c r="AZ95" s="153"/>
      <c r="BA95" s="153"/>
      <c r="BB95" s="153"/>
      <c r="BC95" s="154"/>
      <c r="BD95" s="99"/>
      <c r="BE95" s="154"/>
      <c r="BF95" s="99"/>
      <c r="BG95" s="154"/>
      <c r="BH95" s="154"/>
      <c r="BI95" s="337">
        <v>301050</v>
      </c>
      <c r="BJ95" s="338">
        <v>0</v>
      </c>
      <c r="BK95" s="282"/>
    </row>
    <row r="96" spans="1:63" ht="15.75">
      <c r="A96" s="314">
        <v>501340</v>
      </c>
      <c r="B96" s="125" t="s">
        <v>871</v>
      </c>
      <c r="C96" s="124" t="s">
        <v>196</v>
      </c>
      <c r="D96" s="126">
        <v>206147</v>
      </c>
      <c r="E96" s="121" t="s">
        <v>872</v>
      </c>
      <c r="F96" s="121" t="s">
        <v>873</v>
      </c>
      <c r="G96" s="127" t="s">
        <v>46</v>
      </c>
      <c r="H96" s="126" t="s">
        <v>628</v>
      </c>
      <c r="I96" s="126" t="s">
        <v>723</v>
      </c>
      <c r="J96" s="126" t="s">
        <v>874</v>
      </c>
      <c r="K96" s="128" t="s">
        <v>875</v>
      </c>
      <c r="L96" s="124" t="s">
        <v>515</v>
      </c>
      <c r="M96" s="126" t="s">
        <v>698</v>
      </c>
      <c r="N96" s="129">
        <v>42614</v>
      </c>
      <c r="O96" s="129">
        <v>43708</v>
      </c>
      <c r="P96" s="129">
        <v>43708</v>
      </c>
      <c r="Q96" s="330">
        <v>300000</v>
      </c>
      <c r="R96" s="331"/>
      <c r="S96" s="324">
        <v>48000</v>
      </c>
      <c r="T96" s="324">
        <v>0</v>
      </c>
      <c r="U96" s="324">
        <v>52000</v>
      </c>
      <c r="V96" s="324"/>
      <c r="W96" s="324">
        <v>0</v>
      </c>
      <c r="X96" s="324">
        <v>0</v>
      </c>
      <c r="Y96" s="312">
        <v>100000</v>
      </c>
      <c r="Z96" s="325">
        <v>100000</v>
      </c>
      <c r="AA96" s="325">
        <v>0</v>
      </c>
      <c r="AB96" s="326"/>
      <c r="AC96" s="324">
        <v>48000</v>
      </c>
      <c r="AD96" s="324">
        <v>0</v>
      </c>
      <c r="AE96" s="324">
        <v>52000</v>
      </c>
      <c r="AF96" s="324">
        <v>0</v>
      </c>
      <c r="AG96" s="324">
        <v>0</v>
      </c>
      <c r="AH96" s="324"/>
      <c r="AI96" s="312">
        <v>100000</v>
      </c>
      <c r="AJ96" s="327">
        <v>100000</v>
      </c>
      <c r="AK96" s="327">
        <v>0</v>
      </c>
      <c r="AL96" s="328"/>
      <c r="AM96" s="279">
        <v>48000</v>
      </c>
      <c r="AN96" s="279">
        <v>0</v>
      </c>
      <c r="AO96" s="279">
        <v>52000</v>
      </c>
      <c r="AP96" s="279"/>
      <c r="AQ96" s="279">
        <v>0</v>
      </c>
      <c r="AR96" s="279">
        <v>0</v>
      </c>
      <c r="AS96" s="293">
        <v>100000</v>
      </c>
      <c r="AT96" s="327">
        <v>100000</v>
      </c>
      <c r="AU96" s="327">
        <v>0</v>
      </c>
      <c r="AV96" s="328"/>
      <c r="AW96" s="279"/>
      <c r="AX96" s="279"/>
      <c r="AY96" s="279"/>
      <c r="AZ96" s="279"/>
      <c r="BA96" s="279"/>
      <c r="BB96" s="279"/>
      <c r="BC96" s="293"/>
      <c r="BD96" s="319"/>
      <c r="BE96" s="293"/>
      <c r="BF96" s="319"/>
      <c r="BG96" s="293"/>
      <c r="BH96" s="293"/>
      <c r="BI96" s="337">
        <v>300000</v>
      </c>
      <c r="BJ96" s="338">
        <v>0</v>
      </c>
      <c r="BK96" s="280"/>
    </row>
    <row r="97" spans="1:63" ht="15.75">
      <c r="A97" s="314">
        <v>503284</v>
      </c>
      <c r="B97" s="125" t="s">
        <v>871</v>
      </c>
      <c r="C97" s="124" t="s">
        <v>196</v>
      </c>
      <c r="D97" s="126">
        <v>206147</v>
      </c>
      <c r="E97" s="124" t="s">
        <v>872</v>
      </c>
      <c r="F97" s="124" t="s">
        <v>873</v>
      </c>
      <c r="G97" s="127" t="s">
        <v>46</v>
      </c>
      <c r="H97" s="126" t="s">
        <v>597</v>
      </c>
      <c r="I97" s="126" t="s">
        <v>723</v>
      </c>
      <c r="J97" s="126" t="s">
        <v>874</v>
      </c>
      <c r="K97" s="128" t="s">
        <v>875</v>
      </c>
      <c r="L97" s="121" t="s">
        <v>19</v>
      </c>
      <c r="M97" s="123" t="s">
        <v>876</v>
      </c>
      <c r="N97" s="129">
        <v>42917</v>
      </c>
      <c r="O97" s="129">
        <v>43373</v>
      </c>
      <c r="P97" s="129">
        <v>43555</v>
      </c>
      <c r="Q97" s="323">
        <v>25000</v>
      </c>
      <c r="R97" s="319"/>
      <c r="S97" s="324">
        <v>7291.69</v>
      </c>
      <c r="T97" s="324">
        <v>0</v>
      </c>
      <c r="U97" s="324">
        <v>17708.310000000001</v>
      </c>
      <c r="V97" s="324">
        <v>0</v>
      </c>
      <c r="W97" s="324">
        <v>0</v>
      </c>
      <c r="X97" s="324">
        <v>0</v>
      </c>
      <c r="Y97" s="312">
        <v>25000</v>
      </c>
      <c r="Z97" s="325">
        <v>25000</v>
      </c>
      <c r="AA97" s="325">
        <v>0</v>
      </c>
      <c r="AB97" s="326"/>
      <c r="AC97" s="324" t="s">
        <v>602</v>
      </c>
      <c r="AD97" s="324" t="s">
        <v>602</v>
      </c>
      <c r="AE97" s="324" t="s">
        <v>602</v>
      </c>
      <c r="AF97" s="324" t="s">
        <v>602</v>
      </c>
      <c r="AG97" s="324" t="s">
        <v>602</v>
      </c>
      <c r="AH97" s="324"/>
      <c r="AI97" s="312">
        <v>0</v>
      </c>
      <c r="AJ97" s="327">
        <v>0</v>
      </c>
      <c r="AK97" s="327">
        <v>0</v>
      </c>
      <c r="AL97" s="339"/>
      <c r="AM97" s="324">
        <v>0</v>
      </c>
      <c r="AN97" s="324">
        <v>0</v>
      </c>
      <c r="AO97" s="324">
        <v>0</v>
      </c>
      <c r="AP97" s="324">
        <v>0</v>
      </c>
      <c r="AQ97" s="324">
        <v>0</v>
      </c>
      <c r="AR97" s="324">
        <v>0</v>
      </c>
      <c r="AS97" s="293">
        <v>0</v>
      </c>
      <c r="AT97" s="327">
        <v>0</v>
      </c>
      <c r="AU97" s="327">
        <v>0</v>
      </c>
      <c r="AV97" s="328"/>
      <c r="AW97" s="279"/>
      <c r="AX97" s="279"/>
      <c r="AY97" s="279"/>
      <c r="AZ97" s="279"/>
      <c r="BA97" s="279"/>
      <c r="BB97" s="279"/>
      <c r="BC97" s="293"/>
      <c r="BD97" s="319"/>
      <c r="BE97" s="293"/>
      <c r="BF97" s="319"/>
      <c r="BG97" s="293"/>
      <c r="BH97" s="293"/>
      <c r="BI97" s="337">
        <v>25000</v>
      </c>
      <c r="BJ97" s="338">
        <v>0</v>
      </c>
      <c r="BK97" s="126" t="s">
        <v>877</v>
      </c>
    </row>
    <row r="98" spans="1:63" ht="15.75">
      <c r="A98" s="314">
        <v>507639</v>
      </c>
      <c r="B98" s="125" t="s">
        <v>871</v>
      </c>
      <c r="C98" s="124" t="s">
        <v>196</v>
      </c>
      <c r="D98" s="126">
        <v>206147</v>
      </c>
      <c r="E98" s="124" t="s">
        <v>872</v>
      </c>
      <c r="F98" s="124" t="s">
        <v>873</v>
      </c>
      <c r="G98" s="127" t="s">
        <v>46</v>
      </c>
      <c r="H98" s="126" t="s">
        <v>628</v>
      </c>
      <c r="I98" s="126" t="s">
        <v>723</v>
      </c>
      <c r="J98" s="126" t="s">
        <v>874</v>
      </c>
      <c r="K98" s="128" t="s">
        <v>875</v>
      </c>
      <c r="L98" s="121" t="s">
        <v>519</v>
      </c>
      <c r="M98" s="123" t="s">
        <v>847</v>
      </c>
      <c r="N98" s="129">
        <v>43709</v>
      </c>
      <c r="O98" s="129">
        <v>44895</v>
      </c>
      <c r="P98" s="129">
        <v>44895</v>
      </c>
      <c r="Q98" s="323">
        <v>720000</v>
      </c>
      <c r="R98" s="319"/>
      <c r="S98" s="324">
        <v>122000</v>
      </c>
      <c r="T98" s="324"/>
      <c r="U98" s="324">
        <v>103000</v>
      </c>
      <c r="V98" s="324"/>
      <c r="W98" s="324">
        <v>15000</v>
      </c>
      <c r="X98" s="324"/>
      <c r="Y98" s="312">
        <v>240000</v>
      </c>
      <c r="Z98" s="325">
        <v>240000</v>
      </c>
      <c r="AA98" s="325">
        <v>0</v>
      </c>
      <c r="AB98" s="326"/>
      <c r="AC98" s="324">
        <v>102000</v>
      </c>
      <c r="AD98" s="324"/>
      <c r="AE98" s="324">
        <v>128000</v>
      </c>
      <c r="AF98" s="324"/>
      <c r="AG98" s="324">
        <v>10000</v>
      </c>
      <c r="AH98" s="324"/>
      <c r="AI98" s="312">
        <v>240000</v>
      </c>
      <c r="AJ98" s="327">
        <v>240000</v>
      </c>
      <c r="AK98" s="327">
        <v>0</v>
      </c>
      <c r="AL98" s="328"/>
      <c r="AM98" s="324">
        <v>122000</v>
      </c>
      <c r="AN98" s="324"/>
      <c r="AO98" s="324">
        <v>103000</v>
      </c>
      <c r="AP98" s="324"/>
      <c r="AQ98" s="324">
        <v>15000</v>
      </c>
      <c r="AR98" s="324"/>
      <c r="AS98" s="293">
        <v>240000</v>
      </c>
      <c r="AT98" s="327">
        <v>240000</v>
      </c>
      <c r="AU98" s="327">
        <v>0</v>
      </c>
      <c r="AV98" s="328"/>
      <c r="AW98" s="279"/>
      <c r="AX98" s="279"/>
      <c r="AY98" s="279"/>
      <c r="AZ98" s="279"/>
      <c r="BA98" s="279"/>
      <c r="BB98" s="279"/>
      <c r="BC98" s="293"/>
      <c r="BD98" s="319"/>
      <c r="BE98" s="293"/>
      <c r="BF98" s="319"/>
      <c r="BG98" s="293"/>
      <c r="BH98" s="293"/>
      <c r="BI98" s="337">
        <v>720000</v>
      </c>
      <c r="BJ98" s="338">
        <v>0</v>
      </c>
      <c r="BK98" s="126"/>
    </row>
    <row r="99" spans="1:63" ht="15.75">
      <c r="A99" s="379">
        <v>513374</v>
      </c>
      <c r="B99" s="125" t="s">
        <v>871</v>
      </c>
      <c r="C99" s="124" t="s">
        <v>196</v>
      </c>
      <c r="D99" s="126">
        <v>206147</v>
      </c>
      <c r="E99" s="124" t="s">
        <v>872</v>
      </c>
      <c r="F99" s="124" t="s">
        <v>873</v>
      </c>
      <c r="G99" s="127" t="s">
        <v>46</v>
      </c>
      <c r="H99" s="126" t="s">
        <v>628</v>
      </c>
      <c r="I99" s="126" t="s">
        <v>723</v>
      </c>
      <c r="J99" s="126" t="s">
        <v>874</v>
      </c>
      <c r="K99" s="128" t="s">
        <v>875</v>
      </c>
      <c r="L99" s="121" t="s">
        <v>685</v>
      </c>
      <c r="M99" s="123" t="s">
        <v>878</v>
      </c>
      <c r="N99" s="129">
        <v>44562</v>
      </c>
      <c r="O99" s="129">
        <v>45138</v>
      </c>
      <c r="P99" s="129">
        <v>45138</v>
      </c>
      <c r="Q99" s="323">
        <v>50050</v>
      </c>
      <c r="R99" s="319"/>
      <c r="S99" s="324">
        <v>25050</v>
      </c>
      <c r="T99" s="324"/>
      <c r="U99" s="324">
        <v>25000</v>
      </c>
      <c r="V99" s="324"/>
      <c r="W99" s="324"/>
      <c r="X99" s="324"/>
      <c r="Y99" s="312">
        <v>50050</v>
      </c>
      <c r="Z99" s="325">
        <v>50050</v>
      </c>
      <c r="AA99" s="325">
        <v>0</v>
      </c>
      <c r="AB99" s="326"/>
      <c r="AC99" s="324"/>
      <c r="AD99" s="324"/>
      <c r="AE99" s="324"/>
      <c r="AF99" s="324"/>
      <c r="AG99" s="324"/>
      <c r="AH99" s="324"/>
      <c r="AI99" s="312"/>
      <c r="AJ99" s="327"/>
      <c r="AK99" s="327"/>
      <c r="AL99" s="328"/>
      <c r="AM99" s="324"/>
      <c r="AN99" s="324"/>
      <c r="AO99" s="324"/>
      <c r="AP99" s="324"/>
      <c r="AQ99" s="324"/>
      <c r="AR99" s="324"/>
      <c r="AS99" s="293"/>
      <c r="AT99" s="327"/>
      <c r="AU99" s="327"/>
      <c r="AV99" s="328"/>
      <c r="AW99" s="279"/>
      <c r="AX99" s="279"/>
      <c r="AY99" s="279"/>
      <c r="AZ99" s="279"/>
      <c r="BA99" s="279"/>
      <c r="BB99" s="279"/>
      <c r="BC99" s="293"/>
      <c r="BD99" s="319"/>
      <c r="BE99" s="293"/>
      <c r="BF99" s="319"/>
      <c r="BG99" s="293"/>
      <c r="BH99" s="293"/>
      <c r="BI99" s="337">
        <v>50050</v>
      </c>
      <c r="BJ99" s="338">
        <v>0</v>
      </c>
      <c r="BK99" s="126"/>
    </row>
    <row r="100" spans="1:63" ht="15.75">
      <c r="A100" s="314">
        <v>500050</v>
      </c>
      <c r="B100" s="125" t="s">
        <v>879</v>
      </c>
      <c r="C100" s="124" t="s">
        <v>199</v>
      </c>
      <c r="D100" s="126">
        <v>206205</v>
      </c>
      <c r="E100" s="124" t="s">
        <v>880</v>
      </c>
      <c r="F100" s="124" t="s">
        <v>881</v>
      </c>
      <c r="G100" s="127" t="s">
        <v>46</v>
      </c>
      <c r="H100" s="126" t="s">
        <v>597</v>
      </c>
      <c r="I100" s="126" t="s">
        <v>598</v>
      </c>
      <c r="J100" s="126" t="s">
        <v>696</v>
      </c>
      <c r="K100" s="128" t="s">
        <v>697</v>
      </c>
      <c r="L100" s="121" t="s">
        <v>637</v>
      </c>
      <c r="M100" s="123" t="s">
        <v>638</v>
      </c>
      <c r="N100" s="129">
        <v>42248</v>
      </c>
      <c r="O100" s="129">
        <v>42643</v>
      </c>
      <c r="P100" s="129">
        <v>42674</v>
      </c>
      <c r="Q100" s="323">
        <v>85000</v>
      </c>
      <c r="R100" s="324">
        <v>85000</v>
      </c>
      <c r="S100" s="324"/>
      <c r="T100" s="324">
        <v>0</v>
      </c>
      <c r="U100" s="324">
        <v>0</v>
      </c>
      <c r="V100" s="324"/>
      <c r="W100" s="324">
        <v>0</v>
      </c>
      <c r="X100" s="324">
        <v>0</v>
      </c>
      <c r="Y100" s="312">
        <v>85000</v>
      </c>
      <c r="Z100" s="325">
        <v>85000</v>
      </c>
      <c r="AA100" s="325">
        <v>0</v>
      </c>
      <c r="AB100" s="326"/>
      <c r="AC100" s="324" t="s">
        <v>602</v>
      </c>
      <c r="AD100" s="324" t="s">
        <v>602</v>
      </c>
      <c r="AE100" s="324" t="s">
        <v>602</v>
      </c>
      <c r="AF100" s="324" t="s">
        <v>602</v>
      </c>
      <c r="AG100" s="324" t="s">
        <v>602</v>
      </c>
      <c r="AH100" s="324"/>
      <c r="AI100" s="312">
        <v>0</v>
      </c>
      <c r="AJ100" s="327">
        <v>0</v>
      </c>
      <c r="AK100" s="327">
        <v>0</v>
      </c>
      <c r="AL100" s="328"/>
      <c r="AM100" s="324">
        <v>0</v>
      </c>
      <c r="AN100" s="324">
        <v>0</v>
      </c>
      <c r="AO100" s="324">
        <v>0</v>
      </c>
      <c r="AP100" s="324">
        <v>0</v>
      </c>
      <c r="AQ100" s="324">
        <v>0</v>
      </c>
      <c r="AR100" s="324">
        <v>0</v>
      </c>
      <c r="AS100" s="293">
        <v>0</v>
      </c>
      <c r="AT100" s="327">
        <v>0</v>
      </c>
      <c r="AU100" s="327">
        <v>0</v>
      </c>
      <c r="AV100" s="328"/>
      <c r="AW100" s="324" t="s">
        <v>602</v>
      </c>
      <c r="AX100" s="324" t="s">
        <v>602</v>
      </c>
      <c r="AY100" s="324" t="s">
        <v>602</v>
      </c>
      <c r="AZ100" s="324" t="s">
        <v>602</v>
      </c>
      <c r="BA100" s="324"/>
      <c r="BB100" s="324" t="s">
        <v>602</v>
      </c>
      <c r="BC100" s="293"/>
      <c r="BD100" s="319"/>
      <c r="BE100" s="293"/>
      <c r="BF100" s="319"/>
      <c r="BG100" s="293"/>
      <c r="BH100" s="293"/>
      <c r="BI100" s="337">
        <v>85000</v>
      </c>
      <c r="BJ100" s="338">
        <v>0</v>
      </c>
      <c r="BK100" s="126"/>
    </row>
    <row r="101" spans="1:63" ht="15.75">
      <c r="A101" s="314">
        <v>501340</v>
      </c>
      <c r="B101" s="125" t="s">
        <v>879</v>
      </c>
      <c r="C101" s="124" t="s">
        <v>199</v>
      </c>
      <c r="D101" s="126">
        <v>206205</v>
      </c>
      <c r="E101" s="124" t="s">
        <v>880</v>
      </c>
      <c r="F101" s="124" t="s">
        <v>881</v>
      </c>
      <c r="G101" s="127" t="s">
        <v>46</v>
      </c>
      <c r="H101" s="126" t="s">
        <v>597</v>
      </c>
      <c r="I101" s="126" t="s">
        <v>598</v>
      </c>
      <c r="J101" s="126" t="s">
        <v>696</v>
      </c>
      <c r="K101" s="128" t="s">
        <v>882</v>
      </c>
      <c r="L101" s="121" t="s">
        <v>515</v>
      </c>
      <c r="M101" s="123" t="s">
        <v>698</v>
      </c>
      <c r="N101" s="129">
        <v>42614</v>
      </c>
      <c r="O101" s="129">
        <v>43708</v>
      </c>
      <c r="P101" s="129">
        <v>43343</v>
      </c>
      <c r="Q101" s="323">
        <v>416875.16</v>
      </c>
      <c r="R101" s="319"/>
      <c r="S101" s="324">
        <v>45000</v>
      </c>
      <c r="T101" s="324">
        <v>0</v>
      </c>
      <c r="U101" s="324">
        <v>55000</v>
      </c>
      <c r="V101" s="324"/>
      <c r="W101" s="324">
        <v>37300</v>
      </c>
      <c r="X101" s="324">
        <v>5000</v>
      </c>
      <c r="Y101" s="312">
        <v>142300</v>
      </c>
      <c r="Z101" s="325">
        <v>142300</v>
      </c>
      <c r="AA101" s="325">
        <v>0</v>
      </c>
      <c r="AB101" s="326"/>
      <c r="AC101" s="324">
        <v>45000</v>
      </c>
      <c r="AD101" s="324">
        <v>0</v>
      </c>
      <c r="AE101" s="324">
        <v>55000</v>
      </c>
      <c r="AF101" s="324">
        <v>37300</v>
      </c>
      <c r="AG101" s="324">
        <v>0</v>
      </c>
      <c r="AH101" s="324"/>
      <c r="AI101" s="312">
        <v>137300</v>
      </c>
      <c r="AJ101" s="327">
        <v>137300</v>
      </c>
      <c r="AK101" s="327">
        <v>0</v>
      </c>
      <c r="AL101" s="328"/>
      <c r="AM101" s="279">
        <v>45000</v>
      </c>
      <c r="AN101" s="279">
        <v>0</v>
      </c>
      <c r="AO101" s="279">
        <v>55000</v>
      </c>
      <c r="AP101" s="279"/>
      <c r="AQ101" s="279">
        <v>37300</v>
      </c>
      <c r="AR101" s="279">
        <v>0</v>
      </c>
      <c r="AS101" s="293">
        <v>137300</v>
      </c>
      <c r="AT101" s="327">
        <v>137300</v>
      </c>
      <c r="AU101" s="327">
        <v>0</v>
      </c>
      <c r="AV101" s="328"/>
      <c r="AW101" s="279"/>
      <c r="AX101" s="279"/>
      <c r="AY101" s="279"/>
      <c r="AZ101" s="279"/>
      <c r="BA101" s="279"/>
      <c r="BB101" s="279"/>
      <c r="BC101" s="293"/>
      <c r="BD101" s="319"/>
      <c r="BE101" s="293"/>
      <c r="BF101" s="319"/>
      <c r="BG101" s="293"/>
      <c r="BH101" s="293"/>
      <c r="BI101" s="337">
        <v>416900</v>
      </c>
      <c r="BJ101" s="338">
        <v>24.840000000025611</v>
      </c>
      <c r="BK101" s="126"/>
    </row>
    <row r="102" spans="1:63" ht="15.75">
      <c r="A102" s="314">
        <v>502561</v>
      </c>
      <c r="B102" s="125" t="s">
        <v>879</v>
      </c>
      <c r="C102" s="124" t="s">
        <v>199</v>
      </c>
      <c r="D102" s="126">
        <v>206205</v>
      </c>
      <c r="E102" s="124" t="s">
        <v>880</v>
      </c>
      <c r="F102" s="124" t="s">
        <v>881</v>
      </c>
      <c r="G102" s="127" t="s">
        <v>46</v>
      </c>
      <c r="H102" s="126" t="s">
        <v>628</v>
      </c>
      <c r="I102" s="126" t="s">
        <v>598</v>
      </c>
      <c r="J102" s="126" t="s">
        <v>696</v>
      </c>
      <c r="K102" s="128" t="s">
        <v>697</v>
      </c>
      <c r="L102" s="121" t="s">
        <v>19</v>
      </c>
      <c r="M102" s="123" t="s">
        <v>883</v>
      </c>
      <c r="N102" s="129">
        <v>42826</v>
      </c>
      <c r="O102" s="129">
        <v>43555</v>
      </c>
      <c r="P102" s="129">
        <v>43190</v>
      </c>
      <c r="Q102" s="323">
        <v>77500</v>
      </c>
      <c r="R102" s="319"/>
      <c r="S102" s="324">
        <v>24750</v>
      </c>
      <c r="T102" s="324">
        <v>0</v>
      </c>
      <c r="U102" s="324">
        <v>14000</v>
      </c>
      <c r="V102" s="324">
        <v>0</v>
      </c>
      <c r="W102" s="324">
        <v>0</v>
      </c>
      <c r="X102" s="324">
        <v>0</v>
      </c>
      <c r="Y102" s="312">
        <v>38750</v>
      </c>
      <c r="Z102" s="325">
        <v>38750</v>
      </c>
      <c r="AA102" s="325">
        <v>0</v>
      </c>
      <c r="AB102" s="326"/>
      <c r="AC102" s="324">
        <v>24750</v>
      </c>
      <c r="AD102" s="324">
        <v>0</v>
      </c>
      <c r="AE102" s="324">
        <v>14000</v>
      </c>
      <c r="AF102" s="324">
        <v>0</v>
      </c>
      <c r="AG102" s="324">
        <v>0</v>
      </c>
      <c r="AH102" s="324"/>
      <c r="AI102" s="312">
        <v>38750</v>
      </c>
      <c r="AJ102" s="327">
        <v>38750</v>
      </c>
      <c r="AK102" s="327">
        <v>0</v>
      </c>
      <c r="AL102" s="339"/>
      <c r="AM102" s="324">
        <v>0</v>
      </c>
      <c r="AN102" s="324">
        <v>0</v>
      </c>
      <c r="AO102" s="324">
        <v>0</v>
      </c>
      <c r="AP102" s="324">
        <v>0</v>
      </c>
      <c r="AQ102" s="324">
        <v>0</v>
      </c>
      <c r="AR102" s="324">
        <v>0</v>
      </c>
      <c r="AS102" s="293">
        <v>0</v>
      </c>
      <c r="AT102" s="327">
        <v>0</v>
      </c>
      <c r="AU102" s="327">
        <v>0</v>
      </c>
      <c r="AV102" s="328"/>
      <c r="AW102" s="279"/>
      <c r="AX102" s="279"/>
      <c r="AY102" s="279"/>
      <c r="AZ102" s="279"/>
      <c r="BA102" s="279"/>
      <c r="BB102" s="279"/>
      <c r="BC102" s="293"/>
      <c r="BD102" s="319"/>
      <c r="BE102" s="293"/>
      <c r="BF102" s="319"/>
      <c r="BG102" s="293"/>
      <c r="BH102" s="293"/>
      <c r="BI102" s="337">
        <v>77500</v>
      </c>
      <c r="BJ102" s="338">
        <v>0</v>
      </c>
      <c r="BK102" s="126"/>
    </row>
    <row r="103" spans="1:63" ht="15.75">
      <c r="A103" s="314">
        <v>507639</v>
      </c>
      <c r="B103" s="125" t="s">
        <v>879</v>
      </c>
      <c r="C103" s="124" t="s">
        <v>199</v>
      </c>
      <c r="D103" s="126">
        <v>206205</v>
      </c>
      <c r="E103" s="124" t="s">
        <v>880</v>
      </c>
      <c r="F103" s="124" t="s">
        <v>881</v>
      </c>
      <c r="G103" s="127" t="s">
        <v>46</v>
      </c>
      <c r="H103" s="126" t="s">
        <v>628</v>
      </c>
      <c r="I103" s="126" t="s">
        <v>598</v>
      </c>
      <c r="J103" s="126" t="s">
        <v>696</v>
      </c>
      <c r="K103" s="128" t="s">
        <v>697</v>
      </c>
      <c r="L103" s="121" t="s">
        <v>519</v>
      </c>
      <c r="M103" s="123" t="s">
        <v>847</v>
      </c>
      <c r="N103" s="129">
        <v>43709</v>
      </c>
      <c r="O103" s="129">
        <v>44895</v>
      </c>
      <c r="P103" s="129">
        <v>44895</v>
      </c>
      <c r="Q103" s="323">
        <v>720000</v>
      </c>
      <c r="R103" s="319"/>
      <c r="S103" s="324">
        <v>158000</v>
      </c>
      <c r="T103" s="324"/>
      <c r="U103" s="324">
        <v>52000</v>
      </c>
      <c r="V103" s="324"/>
      <c r="W103" s="324">
        <v>30000</v>
      </c>
      <c r="X103" s="324"/>
      <c r="Y103" s="312">
        <v>240000</v>
      </c>
      <c r="Z103" s="325">
        <v>240000</v>
      </c>
      <c r="AA103" s="325">
        <v>0</v>
      </c>
      <c r="AB103" s="326"/>
      <c r="AC103" s="324">
        <v>160000</v>
      </c>
      <c r="AD103" s="324"/>
      <c r="AE103" s="324">
        <v>50000</v>
      </c>
      <c r="AF103" s="324"/>
      <c r="AG103" s="324">
        <v>30000</v>
      </c>
      <c r="AH103" s="324"/>
      <c r="AI103" s="312">
        <v>240000</v>
      </c>
      <c r="AJ103" s="327">
        <v>240000</v>
      </c>
      <c r="AK103" s="327">
        <v>0</v>
      </c>
      <c r="AL103" s="328"/>
      <c r="AM103" s="324">
        <v>160000</v>
      </c>
      <c r="AN103" s="324"/>
      <c r="AO103" s="324">
        <v>50000</v>
      </c>
      <c r="AP103" s="324"/>
      <c r="AQ103" s="324">
        <v>30000</v>
      </c>
      <c r="AR103" s="279"/>
      <c r="AS103" s="293">
        <v>240000</v>
      </c>
      <c r="AT103" s="327">
        <v>240000</v>
      </c>
      <c r="AU103" s="327">
        <v>0</v>
      </c>
      <c r="AV103" s="328"/>
      <c r="AW103" s="279"/>
      <c r="AX103" s="279"/>
      <c r="AY103" s="279"/>
      <c r="AZ103" s="279"/>
      <c r="BA103" s="279"/>
      <c r="BB103" s="279"/>
      <c r="BC103" s="293"/>
      <c r="BD103" s="319"/>
      <c r="BE103" s="293"/>
      <c r="BF103" s="319"/>
      <c r="BG103" s="293"/>
      <c r="BH103" s="293"/>
      <c r="BI103" s="337">
        <v>720000</v>
      </c>
      <c r="BJ103" s="338">
        <v>0</v>
      </c>
      <c r="BK103" s="126"/>
    </row>
    <row r="104" spans="1:63" ht="15.75">
      <c r="A104" s="379">
        <v>513374</v>
      </c>
      <c r="B104" s="125" t="s">
        <v>879</v>
      </c>
      <c r="C104" s="124" t="s">
        <v>199</v>
      </c>
      <c r="D104" s="126">
        <v>206205</v>
      </c>
      <c r="E104" s="124" t="s">
        <v>880</v>
      </c>
      <c r="F104" s="124" t="s">
        <v>881</v>
      </c>
      <c r="G104" s="127" t="s">
        <v>46</v>
      </c>
      <c r="H104" s="126" t="s">
        <v>628</v>
      </c>
      <c r="I104" s="126" t="s">
        <v>598</v>
      </c>
      <c r="J104" s="126" t="s">
        <v>696</v>
      </c>
      <c r="K104" s="128" t="s">
        <v>697</v>
      </c>
      <c r="L104" s="121" t="s">
        <v>685</v>
      </c>
      <c r="M104" s="123" t="s">
        <v>878</v>
      </c>
      <c r="N104" s="129">
        <v>44562</v>
      </c>
      <c r="O104" s="129">
        <v>45138</v>
      </c>
      <c r="P104" s="129">
        <v>45138</v>
      </c>
      <c r="Q104" s="323">
        <v>25000</v>
      </c>
      <c r="R104" s="319"/>
      <c r="S104" s="324">
        <v>25000</v>
      </c>
      <c r="T104" s="324"/>
      <c r="U104" s="324"/>
      <c r="V104" s="324"/>
      <c r="W104" s="324"/>
      <c r="X104" s="324"/>
      <c r="Y104" s="312">
        <v>25000</v>
      </c>
      <c r="Z104" s="325">
        <v>25000</v>
      </c>
      <c r="AA104" s="325">
        <v>0</v>
      </c>
      <c r="AB104" s="326"/>
      <c r="AC104" s="324"/>
      <c r="AD104" s="324"/>
      <c r="AE104" s="324"/>
      <c r="AF104" s="324"/>
      <c r="AG104" s="324"/>
      <c r="AH104" s="324"/>
      <c r="AI104" s="312"/>
      <c r="AJ104" s="327"/>
      <c r="AK104" s="327"/>
      <c r="AL104" s="339"/>
      <c r="AM104" s="324"/>
      <c r="AN104" s="324"/>
      <c r="AO104" s="324"/>
      <c r="AP104" s="324"/>
      <c r="AQ104" s="324"/>
      <c r="AR104" s="324"/>
      <c r="AS104" s="293"/>
      <c r="AT104" s="327"/>
      <c r="AU104" s="327"/>
      <c r="AV104" s="328"/>
      <c r="AW104" s="279"/>
      <c r="AX104" s="279"/>
      <c r="AY104" s="279"/>
      <c r="AZ104" s="279"/>
      <c r="BA104" s="279"/>
      <c r="BB104" s="279"/>
      <c r="BC104" s="293"/>
      <c r="BD104" s="319"/>
      <c r="BE104" s="293"/>
      <c r="BF104" s="319"/>
      <c r="BG104" s="293"/>
      <c r="BH104" s="293"/>
      <c r="BI104" s="337">
        <v>25000</v>
      </c>
      <c r="BJ104" s="338">
        <v>0</v>
      </c>
      <c r="BK104" s="126"/>
    </row>
    <row r="105" spans="1:63" ht="15.75">
      <c r="A105" s="314">
        <v>509882</v>
      </c>
      <c r="B105" s="125" t="s">
        <v>884</v>
      </c>
      <c r="C105" s="183" t="s">
        <v>885</v>
      </c>
      <c r="D105" s="163">
        <v>206244</v>
      </c>
      <c r="E105" s="148" t="s">
        <v>886</v>
      </c>
      <c r="F105" s="148" t="s">
        <v>887</v>
      </c>
      <c r="G105" s="127" t="s">
        <v>46</v>
      </c>
      <c r="H105" s="149" t="s">
        <v>628</v>
      </c>
      <c r="I105" s="126" t="s">
        <v>598</v>
      </c>
      <c r="J105" s="149" t="s">
        <v>888</v>
      </c>
      <c r="K105" s="128" t="s">
        <v>731</v>
      </c>
      <c r="L105" s="121" t="s">
        <v>19</v>
      </c>
      <c r="M105" s="168" t="s">
        <v>889</v>
      </c>
      <c r="N105" s="129">
        <v>44044</v>
      </c>
      <c r="O105" s="129">
        <v>44592</v>
      </c>
      <c r="P105" s="129">
        <v>44592</v>
      </c>
      <c r="Q105" s="323">
        <v>19335</v>
      </c>
      <c r="R105" s="319"/>
      <c r="S105" s="324">
        <v>12000</v>
      </c>
      <c r="T105" s="324"/>
      <c r="U105" s="324">
        <v>7335</v>
      </c>
      <c r="V105" s="324"/>
      <c r="W105" s="324"/>
      <c r="X105" s="324"/>
      <c r="Y105" s="312">
        <v>19335</v>
      </c>
      <c r="Z105" s="325">
        <v>19335</v>
      </c>
      <c r="AA105" s="325">
        <v>0</v>
      </c>
      <c r="AB105" s="326"/>
      <c r="AC105" s="324"/>
      <c r="AD105" s="324"/>
      <c r="AE105" s="324"/>
      <c r="AF105" s="324"/>
      <c r="AG105" s="324"/>
      <c r="AH105" s="324"/>
      <c r="AI105" s="312">
        <v>0</v>
      </c>
      <c r="AJ105" s="327">
        <v>0</v>
      </c>
      <c r="AK105" s="327">
        <v>0</v>
      </c>
      <c r="AL105" s="328"/>
      <c r="AM105" s="324"/>
      <c r="AN105" s="324"/>
      <c r="AO105" s="324"/>
      <c r="AP105" s="324"/>
      <c r="AQ105" s="324"/>
      <c r="AR105" s="324"/>
      <c r="AS105" s="293">
        <v>0</v>
      </c>
      <c r="AT105" s="327">
        <v>0</v>
      </c>
      <c r="AU105" s="327">
        <v>0</v>
      </c>
      <c r="AV105" s="328"/>
      <c r="AW105" s="279"/>
      <c r="AX105" s="279"/>
      <c r="AY105" s="279"/>
      <c r="AZ105" s="279"/>
      <c r="BA105" s="279"/>
      <c r="BB105" s="279"/>
      <c r="BC105" s="293"/>
      <c r="BD105" s="319"/>
      <c r="BE105" s="293"/>
      <c r="BF105" s="319"/>
      <c r="BG105" s="293"/>
      <c r="BH105" s="293"/>
      <c r="BI105" s="337">
        <v>19335</v>
      </c>
      <c r="BJ105" s="338">
        <v>0</v>
      </c>
      <c r="BK105" s="126"/>
    </row>
    <row r="106" spans="1:63" ht="15.75">
      <c r="A106" s="314">
        <v>505062</v>
      </c>
      <c r="B106" s="125" t="s">
        <v>890</v>
      </c>
      <c r="C106" s="124" t="s">
        <v>173</v>
      </c>
      <c r="D106" s="126">
        <v>206247</v>
      </c>
      <c r="E106" s="148" t="s">
        <v>891</v>
      </c>
      <c r="F106" s="148" t="s">
        <v>892</v>
      </c>
      <c r="G106" s="127" t="s">
        <v>46</v>
      </c>
      <c r="H106" s="149" t="s">
        <v>597</v>
      </c>
      <c r="I106" s="149" t="s">
        <v>893</v>
      </c>
      <c r="J106" s="126" t="s">
        <v>894</v>
      </c>
      <c r="K106" s="128" t="s">
        <v>895</v>
      </c>
      <c r="L106" s="121" t="s">
        <v>517</v>
      </c>
      <c r="M106" s="123" t="s">
        <v>896</v>
      </c>
      <c r="N106" s="129">
        <v>43191</v>
      </c>
      <c r="O106" s="129">
        <v>43728</v>
      </c>
      <c r="P106" s="129">
        <v>43728</v>
      </c>
      <c r="Q106" s="330">
        <v>84488.5</v>
      </c>
      <c r="R106" s="331"/>
      <c r="S106" s="324">
        <v>50000</v>
      </c>
      <c r="T106" s="324">
        <v>0</v>
      </c>
      <c r="U106" s="324">
        <v>0</v>
      </c>
      <c r="V106" s="324"/>
      <c r="W106" s="324">
        <v>0</v>
      </c>
      <c r="X106" s="324">
        <v>0</v>
      </c>
      <c r="Y106" s="312">
        <v>50000</v>
      </c>
      <c r="Z106" s="325">
        <v>50000</v>
      </c>
      <c r="AA106" s="325">
        <v>0</v>
      </c>
      <c r="AB106" s="326"/>
      <c r="AC106" s="324">
        <v>34488.5</v>
      </c>
      <c r="AD106" s="324">
        <v>0</v>
      </c>
      <c r="AE106" s="324">
        <v>0</v>
      </c>
      <c r="AF106" s="324">
        <v>0</v>
      </c>
      <c r="AG106" s="324">
        <v>0</v>
      </c>
      <c r="AH106" s="324"/>
      <c r="AI106" s="312">
        <v>34488.5</v>
      </c>
      <c r="AJ106" s="327">
        <v>34488.5</v>
      </c>
      <c r="AK106" s="327">
        <v>0</v>
      </c>
      <c r="AL106" s="328"/>
      <c r="AM106" s="324">
        <v>0</v>
      </c>
      <c r="AN106" s="324">
        <v>0</v>
      </c>
      <c r="AO106" s="324">
        <v>0</v>
      </c>
      <c r="AP106" s="324">
        <v>0</v>
      </c>
      <c r="AQ106" s="324">
        <v>0</v>
      </c>
      <c r="AR106" s="324">
        <v>0</v>
      </c>
      <c r="AS106" s="293">
        <v>0</v>
      </c>
      <c r="AT106" s="327">
        <v>0</v>
      </c>
      <c r="AU106" s="327">
        <v>0</v>
      </c>
      <c r="AV106" s="328"/>
      <c r="AW106" s="279"/>
      <c r="AX106" s="279"/>
      <c r="AY106" s="279"/>
      <c r="AZ106" s="279"/>
      <c r="BA106" s="279"/>
      <c r="BB106" s="279"/>
      <c r="BC106" s="293"/>
      <c r="BD106" s="319"/>
      <c r="BE106" s="293"/>
      <c r="BF106" s="319"/>
      <c r="BG106" s="293"/>
      <c r="BH106" s="293"/>
      <c r="BI106" s="337">
        <v>84488.5</v>
      </c>
      <c r="BJ106" s="338">
        <v>0</v>
      </c>
      <c r="BK106" s="280" t="s">
        <v>897</v>
      </c>
    </row>
    <row r="107" spans="1:63" ht="15.75">
      <c r="A107" s="314">
        <v>512737</v>
      </c>
      <c r="B107" s="125" t="s">
        <v>890</v>
      </c>
      <c r="C107" s="124" t="s">
        <v>173</v>
      </c>
      <c r="D107" s="126">
        <v>206247</v>
      </c>
      <c r="E107" s="148" t="s">
        <v>891</v>
      </c>
      <c r="F107" s="148" t="s">
        <v>892</v>
      </c>
      <c r="G107" s="127" t="s">
        <v>46</v>
      </c>
      <c r="H107" s="149" t="s">
        <v>597</v>
      </c>
      <c r="I107" s="149" t="s">
        <v>893</v>
      </c>
      <c r="J107" s="126" t="s">
        <v>894</v>
      </c>
      <c r="K107" s="128" t="s">
        <v>895</v>
      </c>
      <c r="L107" s="121" t="s">
        <v>10</v>
      </c>
      <c r="M107" s="123" t="s">
        <v>898</v>
      </c>
      <c r="N107" s="129">
        <v>44409</v>
      </c>
      <c r="O107" s="129">
        <v>44773</v>
      </c>
      <c r="P107" s="129">
        <v>44773</v>
      </c>
      <c r="Q107" s="330">
        <v>25000</v>
      </c>
      <c r="R107" s="331"/>
      <c r="S107" s="324">
        <v>25000</v>
      </c>
      <c r="T107" s="324"/>
      <c r="U107" s="324">
        <v>0</v>
      </c>
      <c r="V107" s="324"/>
      <c r="W107" s="324"/>
      <c r="X107" s="324"/>
      <c r="Y107" s="312">
        <v>25000</v>
      </c>
      <c r="Z107" s="325">
        <v>25000</v>
      </c>
      <c r="AA107" s="325">
        <v>0</v>
      </c>
      <c r="AB107" s="326"/>
      <c r="AC107" s="324"/>
      <c r="AD107" s="324"/>
      <c r="AE107" s="324"/>
      <c r="AF107" s="324"/>
      <c r="AG107" s="324"/>
      <c r="AH107" s="324"/>
      <c r="AI107" s="312"/>
      <c r="AJ107" s="327"/>
      <c r="AK107" s="327"/>
      <c r="AL107" s="328"/>
      <c r="AM107" s="324"/>
      <c r="AN107" s="324"/>
      <c r="AO107" s="324"/>
      <c r="AP107" s="324"/>
      <c r="AQ107" s="324"/>
      <c r="AR107" s="324"/>
      <c r="AS107" s="293"/>
      <c r="AT107" s="327"/>
      <c r="AU107" s="327"/>
      <c r="AV107" s="328"/>
      <c r="AW107" s="279"/>
      <c r="AX107" s="279"/>
      <c r="AY107" s="279"/>
      <c r="AZ107" s="279"/>
      <c r="BA107" s="279"/>
      <c r="BB107" s="279"/>
      <c r="BC107" s="293"/>
      <c r="BD107" s="319"/>
      <c r="BE107" s="293"/>
      <c r="BF107" s="319"/>
      <c r="BG107" s="293"/>
      <c r="BH107" s="293"/>
      <c r="BI107" s="337">
        <v>25000</v>
      </c>
      <c r="BJ107" s="338">
        <v>0</v>
      </c>
      <c r="BK107" s="280"/>
    </row>
    <row r="108" spans="1:63" ht="15.75">
      <c r="A108" s="314">
        <v>501347</v>
      </c>
      <c r="B108" s="125" t="s">
        <v>899</v>
      </c>
      <c r="C108" s="124" t="s">
        <v>312</v>
      </c>
      <c r="D108" s="126">
        <v>206470</v>
      </c>
      <c r="E108" s="124" t="s">
        <v>900</v>
      </c>
      <c r="F108" s="124" t="s">
        <v>901</v>
      </c>
      <c r="G108" s="127" t="s">
        <v>46</v>
      </c>
      <c r="H108" s="126" t="s">
        <v>628</v>
      </c>
      <c r="I108" s="126" t="s">
        <v>609</v>
      </c>
      <c r="J108" s="126" t="s">
        <v>818</v>
      </c>
      <c r="K108" s="128" t="s">
        <v>866</v>
      </c>
      <c r="L108" s="121" t="s">
        <v>515</v>
      </c>
      <c r="M108" s="123" t="s">
        <v>867</v>
      </c>
      <c r="N108" s="129">
        <v>42614</v>
      </c>
      <c r="O108" s="129">
        <v>43708</v>
      </c>
      <c r="P108" s="129">
        <v>43921</v>
      </c>
      <c r="Q108" s="323">
        <v>74300</v>
      </c>
      <c r="R108" s="319"/>
      <c r="S108" s="324">
        <v>13500</v>
      </c>
      <c r="T108" s="324">
        <v>11800</v>
      </c>
      <c r="U108" s="324">
        <v>1350</v>
      </c>
      <c r="V108" s="324"/>
      <c r="W108" s="324">
        <v>0</v>
      </c>
      <c r="X108" s="324">
        <v>0</v>
      </c>
      <c r="Y108" s="312">
        <v>26650</v>
      </c>
      <c r="Z108" s="325">
        <v>26650</v>
      </c>
      <c r="AA108" s="325">
        <v>0</v>
      </c>
      <c r="AB108" s="326"/>
      <c r="AC108" s="324">
        <v>13500</v>
      </c>
      <c r="AD108" s="324">
        <v>11000</v>
      </c>
      <c r="AE108" s="324">
        <v>1250</v>
      </c>
      <c r="AF108" s="324">
        <v>0</v>
      </c>
      <c r="AG108" s="324">
        <v>0</v>
      </c>
      <c r="AH108" s="324"/>
      <c r="AI108" s="312">
        <v>25750</v>
      </c>
      <c r="AJ108" s="327">
        <v>25750</v>
      </c>
      <c r="AK108" s="327">
        <v>0</v>
      </c>
      <c r="AL108" s="328"/>
      <c r="AM108" s="279">
        <v>15000</v>
      </c>
      <c r="AN108" s="279">
        <v>6900</v>
      </c>
      <c r="AO108" s="279">
        <v>0</v>
      </c>
      <c r="AP108" s="279"/>
      <c r="AQ108" s="279">
        <v>0</v>
      </c>
      <c r="AR108" s="279">
        <v>0</v>
      </c>
      <c r="AS108" s="293">
        <v>21900</v>
      </c>
      <c r="AT108" s="327">
        <v>21900</v>
      </c>
      <c r="AU108" s="327">
        <v>0</v>
      </c>
      <c r="AV108" s="328"/>
      <c r="AW108" s="279"/>
      <c r="AX108" s="279"/>
      <c r="AY108" s="279"/>
      <c r="AZ108" s="279"/>
      <c r="BA108" s="279"/>
      <c r="BB108" s="279"/>
      <c r="BC108" s="293"/>
      <c r="BD108" s="319"/>
      <c r="BE108" s="293"/>
      <c r="BF108" s="319"/>
      <c r="BG108" s="293"/>
      <c r="BH108" s="293"/>
      <c r="BI108" s="337">
        <v>74300</v>
      </c>
      <c r="BJ108" s="338">
        <v>0</v>
      </c>
      <c r="BK108" s="126"/>
    </row>
    <row r="109" spans="1:63" ht="15.75">
      <c r="A109" s="314">
        <v>507777</v>
      </c>
      <c r="B109" s="332" t="s">
        <v>899</v>
      </c>
      <c r="C109" s="124" t="s">
        <v>312</v>
      </c>
      <c r="D109" s="126">
        <v>206470</v>
      </c>
      <c r="E109" s="124" t="s">
        <v>900</v>
      </c>
      <c r="F109" s="124" t="s">
        <v>901</v>
      </c>
      <c r="G109" s="127" t="s">
        <v>46</v>
      </c>
      <c r="H109" s="126" t="s">
        <v>628</v>
      </c>
      <c r="I109" s="126" t="s">
        <v>609</v>
      </c>
      <c r="J109" s="126" t="s">
        <v>818</v>
      </c>
      <c r="K109" s="128" t="s">
        <v>866</v>
      </c>
      <c r="L109" s="121" t="s">
        <v>519</v>
      </c>
      <c r="M109" s="123" t="s">
        <v>769</v>
      </c>
      <c r="N109" s="129">
        <v>43709</v>
      </c>
      <c r="O109" s="129">
        <v>44895</v>
      </c>
      <c r="P109" s="129">
        <v>44895</v>
      </c>
      <c r="Q109" s="323">
        <v>162000</v>
      </c>
      <c r="R109" s="319"/>
      <c r="S109" s="324">
        <v>34560</v>
      </c>
      <c r="T109" s="324">
        <v>0</v>
      </c>
      <c r="U109" s="324">
        <v>11520</v>
      </c>
      <c r="V109" s="324">
        <v>1440</v>
      </c>
      <c r="W109" s="324">
        <v>6480</v>
      </c>
      <c r="X109" s="324">
        <v>0</v>
      </c>
      <c r="Y109" s="312">
        <v>54000</v>
      </c>
      <c r="Z109" s="325">
        <v>54000</v>
      </c>
      <c r="AA109" s="325">
        <v>0</v>
      </c>
      <c r="AB109" s="326"/>
      <c r="AC109" s="324">
        <v>48265.979999999996</v>
      </c>
      <c r="AD109" s="324">
        <v>0</v>
      </c>
      <c r="AE109" s="324">
        <v>5617.02</v>
      </c>
      <c r="AF109" s="324">
        <v>0</v>
      </c>
      <c r="AG109" s="324">
        <v>117</v>
      </c>
      <c r="AH109" s="324">
        <v>0</v>
      </c>
      <c r="AI109" s="312">
        <v>54000</v>
      </c>
      <c r="AJ109" s="327">
        <v>54000</v>
      </c>
      <c r="AK109" s="327">
        <v>0</v>
      </c>
      <c r="AL109" s="328"/>
      <c r="AM109" s="324">
        <v>34560</v>
      </c>
      <c r="AN109" s="324">
        <v>0</v>
      </c>
      <c r="AO109" s="324">
        <v>11520</v>
      </c>
      <c r="AP109" s="324">
        <v>1440</v>
      </c>
      <c r="AQ109" s="324">
        <v>6480</v>
      </c>
      <c r="AR109" s="324">
        <v>0</v>
      </c>
      <c r="AS109" s="293">
        <v>54000</v>
      </c>
      <c r="AT109" s="327">
        <v>54000</v>
      </c>
      <c r="AU109" s="327">
        <v>0</v>
      </c>
      <c r="AV109" s="328"/>
      <c r="AW109" s="279"/>
      <c r="AX109" s="279"/>
      <c r="AY109" s="279"/>
      <c r="AZ109" s="279"/>
      <c r="BA109" s="279"/>
      <c r="BB109" s="279"/>
      <c r="BC109" s="293"/>
      <c r="BD109" s="319"/>
      <c r="BE109" s="293"/>
      <c r="BF109" s="319"/>
      <c r="BG109" s="293"/>
      <c r="BH109" s="293"/>
      <c r="BI109" s="337">
        <v>162000</v>
      </c>
      <c r="BJ109" s="338">
        <v>0</v>
      </c>
      <c r="BK109" s="126"/>
    </row>
    <row r="110" spans="1:63" ht="15.75">
      <c r="A110" s="314">
        <v>501344</v>
      </c>
      <c r="B110" s="125" t="s">
        <v>902</v>
      </c>
      <c r="C110" s="124" t="s">
        <v>76</v>
      </c>
      <c r="D110" s="126">
        <v>206595</v>
      </c>
      <c r="E110" s="124" t="s">
        <v>903</v>
      </c>
      <c r="F110" s="124" t="s">
        <v>904</v>
      </c>
      <c r="G110" s="127" t="s">
        <v>46</v>
      </c>
      <c r="H110" s="126" t="s">
        <v>628</v>
      </c>
      <c r="I110" s="126" t="s">
        <v>609</v>
      </c>
      <c r="J110" s="126" t="s">
        <v>710</v>
      </c>
      <c r="K110" s="128" t="s">
        <v>711</v>
      </c>
      <c r="L110" s="121" t="s">
        <v>515</v>
      </c>
      <c r="M110" s="123" t="s">
        <v>667</v>
      </c>
      <c r="N110" s="129">
        <v>42614</v>
      </c>
      <c r="O110" s="129">
        <v>43708</v>
      </c>
      <c r="P110" s="129">
        <v>43708</v>
      </c>
      <c r="Q110" s="323">
        <v>187500</v>
      </c>
      <c r="R110" s="319"/>
      <c r="S110" s="324">
        <v>25000</v>
      </c>
      <c r="T110" s="324">
        <v>0</v>
      </c>
      <c r="U110" s="324">
        <v>12500</v>
      </c>
      <c r="V110" s="324"/>
      <c r="W110" s="324">
        <v>0</v>
      </c>
      <c r="X110" s="324">
        <v>0</v>
      </c>
      <c r="Y110" s="312">
        <v>37500</v>
      </c>
      <c r="Z110" s="325">
        <v>37500</v>
      </c>
      <c r="AA110" s="325">
        <v>0</v>
      </c>
      <c r="AB110" s="326"/>
      <c r="AC110" s="324">
        <v>50000</v>
      </c>
      <c r="AD110" s="324">
        <v>0</v>
      </c>
      <c r="AE110" s="324">
        <v>25000</v>
      </c>
      <c r="AF110" s="324">
        <v>0</v>
      </c>
      <c r="AG110" s="324">
        <v>0</v>
      </c>
      <c r="AH110" s="324"/>
      <c r="AI110" s="312">
        <v>75000</v>
      </c>
      <c r="AJ110" s="327">
        <v>75000</v>
      </c>
      <c r="AK110" s="327">
        <v>0</v>
      </c>
      <c r="AL110" s="328"/>
      <c r="AM110" s="279">
        <v>50000</v>
      </c>
      <c r="AN110" s="279">
        <v>0</v>
      </c>
      <c r="AO110" s="279">
        <v>25000</v>
      </c>
      <c r="AP110" s="279"/>
      <c r="AQ110" s="279">
        <v>0</v>
      </c>
      <c r="AR110" s="279">
        <v>0</v>
      </c>
      <c r="AS110" s="293">
        <v>75000</v>
      </c>
      <c r="AT110" s="327">
        <v>75000</v>
      </c>
      <c r="AU110" s="327">
        <v>0</v>
      </c>
      <c r="AV110" s="328"/>
      <c r="AW110" s="279"/>
      <c r="AX110" s="279"/>
      <c r="AY110" s="279"/>
      <c r="AZ110" s="279"/>
      <c r="BA110" s="279"/>
      <c r="BB110" s="279"/>
      <c r="BC110" s="293"/>
      <c r="BD110" s="319"/>
      <c r="BE110" s="293"/>
      <c r="BF110" s="319"/>
      <c r="BG110" s="293"/>
      <c r="BH110" s="293"/>
      <c r="BI110" s="337">
        <v>187500</v>
      </c>
      <c r="BJ110" s="338">
        <v>0</v>
      </c>
      <c r="BK110" s="126"/>
    </row>
    <row r="111" spans="1:63" ht="15.75">
      <c r="A111" s="314">
        <v>507638</v>
      </c>
      <c r="B111" s="125" t="s">
        <v>902</v>
      </c>
      <c r="C111" s="124" t="s">
        <v>76</v>
      </c>
      <c r="D111" s="126">
        <v>206595</v>
      </c>
      <c r="E111" s="124" t="s">
        <v>903</v>
      </c>
      <c r="F111" s="124" t="s">
        <v>904</v>
      </c>
      <c r="G111" s="127" t="s">
        <v>46</v>
      </c>
      <c r="H111" s="126" t="s">
        <v>628</v>
      </c>
      <c r="I111" s="126" t="s">
        <v>609</v>
      </c>
      <c r="J111" s="126" t="s">
        <v>710</v>
      </c>
      <c r="K111" s="128" t="s">
        <v>711</v>
      </c>
      <c r="L111" s="121" t="s">
        <v>519</v>
      </c>
      <c r="M111" s="123" t="s">
        <v>791</v>
      </c>
      <c r="N111" s="129">
        <v>43709</v>
      </c>
      <c r="O111" s="129">
        <v>44895</v>
      </c>
      <c r="P111" s="129">
        <v>44895</v>
      </c>
      <c r="Q111" s="323">
        <v>400000</v>
      </c>
      <c r="R111" s="319"/>
      <c r="S111" s="324">
        <v>95000</v>
      </c>
      <c r="T111" s="324"/>
      <c r="U111" s="324">
        <v>22750</v>
      </c>
      <c r="V111" s="324"/>
      <c r="W111" s="324">
        <v>16000</v>
      </c>
      <c r="X111" s="324"/>
      <c r="Y111" s="312">
        <v>133750</v>
      </c>
      <c r="Z111" s="325">
        <v>133750</v>
      </c>
      <c r="AA111" s="325">
        <v>0</v>
      </c>
      <c r="AB111" s="326"/>
      <c r="AC111" s="324">
        <v>45000</v>
      </c>
      <c r="AD111" s="324"/>
      <c r="AE111" s="324">
        <v>72750</v>
      </c>
      <c r="AF111" s="324"/>
      <c r="AG111" s="324">
        <v>16000</v>
      </c>
      <c r="AH111" s="324"/>
      <c r="AI111" s="312">
        <v>133750</v>
      </c>
      <c r="AJ111" s="327">
        <v>133750</v>
      </c>
      <c r="AK111" s="327">
        <v>0</v>
      </c>
      <c r="AL111" s="328"/>
      <c r="AM111" s="324">
        <v>45000</v>
      </c>
      <c r="AN111" s="324">
        <v>0</v>
      </c>
      <c r="AO111" s="324">
        <v>71500</v>
      </c>
      <c r="AP111" s="324">
        <v>0</v>
      </c>
      <c r="AQ111" s="324">
        <v>16000</v>
      </c>
      <c r="AR111" s="324"/>
      <c r="AS111" s="293">
        <v>132500</v>
      </c>
      <c r="AT111" s="327">
        <v>132500</v>
      </c>
      <c r="AU111" s="327">
        <v>0</v>
      </c>
      <c r="AV111" s="328"/>
      <c r="AW111" s="279"/>
      <c r="AX111" s="279"/>
      <c r="AY111" s="279"/>
      <c r="AZ111" s="279"/>
      <c r="BA111" s="279"/>
      <c r="BB111" s="279"/>
      <c r="BC111" s="293"/>
      <c r="BD111" s="319"/>
      <c r="BE111" s="293"/>
      <c r="BF111" s="319"/>
      <c r="BG111" s="293"/>
      <c r="BH111" s="293"/>
      <c r="BI111" s="337">
        <v>400000</v>
      </c>
      <c r="BJ111" s="338">
        <v>0</v>
      </c>
      <c r="BK111" s="126"/>
    </row>
    <row r="112" spans="1:63" ht="15.75">
      <c r="A112" s="314">
        <v>507639</v>
      </c>
      <c r="B112" s="125" t="s">
        <v>902</v>
      </c>
      <c r="C112" s="124" t="s">
        <v>76</v>
      </c>
      <c r="D112" s="126">
        <v>206595</v>
      </c>
      <c r="E112" s="124" t="s">
        <v>903</v>
      </c>
      <c r="F112" s="124" t="s">
        <v>904</v>
      </c>
      <c r="G112" s="127" t="s">
        <v>46</v>
      </c>
      <c r="H112" s="126" t="s">
        <v>628</v>
      </c>
      <c r="I112" s="126" t="s">
        <v>609</v>
      </c>
      <c r="J112" s="126" t="s">
        <v>710</v>
      </c>
      <c r="K112" s="128" t="s">
        <v>711</v>
      </c>
      <c r="L112" s="121" t="s">
        <v>519</v>
      </c>
      <c r="M112" s="123" t="s">
        <v>847</v>
      </c>
      <c r="N112" s="129">
        <v>43709</v>
      </c>
      <c r="O112" s="129">
        <v>44895</v>
      </c>
      <c r="P112" s="129">
        <v>44895</v>
      </c>
      <c r="Q112" s="323">
        <v>120000</v>
      </c>
      <c r="R112" s="319"/>
      <c r="S112" s="324">
        <v>15000</v>
      </c>
      <c r="T112" s="324"/>
      <c r="U112" s="324">
        <v>15000</v>
      </c>
      <c r="V112" s="324"/>
      <c r="W112" s="324">
        <v>10000</v>
      </c>
      <c r="X112" s="324"/>
      <c r="Y112" s="312">
        <v>40000</v>
      </c>
      <c r="Z112" s="325">
        <v>40000</v>
      </c>
      <c r="AA112" s="325">
        <v>0</v>
      </c>
      <c r="AB112" s="326"/>
      <c r="AC112" s="324">
        <v>15000</v>
      </c>
      <c r="AD112" s="324"/>
      <c r="AE112" s="324">
        <v>15000</v>
      </c>
      <c r="AF112" s="324"/>
      <c r="AG112" s="324">
        <v>10000</v>
      </c>
      <c r="AH112" s="324"/>
      <c r="AI112" s="312">
        <v>40000</v>
      </c>
      <c r="AJ112" s="327">
        <v>40000</v>
      </c>
      <c r="AK112" s="327">
        <v>0</v>
      </c>
      <c r="AL112" s="328"/>
      <c r="AM112" s="324">
        <v>15000</v>
      </c>
      <c r="AN112" s="324"/>
      <c r="AO112" s="324">
        <v>15000</v>
      </c>
      <c r="AP112" s="324"/>
      <c r="AQ112" s="324">
        <v>10000</v>
      </c>
      <c r="AR112" s="324"/>
      <c r="AS112" s="293">
        <v>40000</v>
      </c>
      <c r="AT112" s="327">
        <v>40000</v>
      </c>
      <c r="AU112" s="327">
        <v>0</v>
      </c>
      <c r="AV112" s="328"/>
      <c r="AW112" s="279"/>
      <c r="AX112" s="279"/>
      <c r="AY112" s="279"/>
      <c r="AZ112" s="279"/>
      <c r="BA112" s="279"/>
      <c r="BB112" s="279"/>
      <c r="BC112" s="293"/>
      <c r="BD112" s="319"/>
      <c r="BE112" s="293"/>
      <c r="BF112" s="319"/>
      <c r="BG112" s="293"/>
      <c r="BH112" s="293"/>
      <c r="BI112" s="337">
        <v>120000</v>
      </c>
      <c r="BJ112" s="338">
        <v>0</v>
      </c>
      <c r="BK112" s="126"/>
    </row>
    <row r="113" spans="1:64" ht="15.75">
      <c r="A113" s="380">
        <v>509284</v>
      </c>
      <c r="B113" s="125" t="s">
        <v>902</v>
      </c>
      <c r="C113" s="124" t="s">
        <v>76</v>
      </c>
      <c r="D113" s="126">
        <v>206595</v>
      </c>
      <c r="E113" s="124" t="s">
        <v>903</v>
      </c>
      <c r="F113" s="124" t="s">
        <v>904</v>
      </c>
      <c r="G113" s="127" t="s">
        <v>46</v>
      </c>
      <c r="H113" s="126" t="s">
        <v>597</v>
      </c>
      <c r="I113" s="126" t="s">
        <v>609</v>
      </c>
      <c r="J113" s="126" t="s">
        <v>710</v>
      </c>
      <c r="K113" s="128" t="s">
        <v>711</v>
      </c>
      <c r="L113" s="121" t="s">
        <v>517</v>
      </c>
      <c r="M113" s="123" t="s">
        <v>905</v>
      </c>
      <c r="N113" s="129">
        <v>44013</v>
      </c>
      <c r="O113" s="129">
        <v>44742</v>
      </c>
      <c r="P113" s="129">
        <v>44742</v>
      </c>
      <c r="Q113" s="323">
        <v>150000</v>
      </c>
      <c r="R113" s="319"/>
      <c r="S113" s="324">
        <v>75000</v>
      </c>
      <c r="T113" s="324"/>
      <c r="U113" s="324"/>
      <c r="V113" s="324"/>
      <c r="W113" s="324"/>
      <c r="X113" s="324"/>
      <c r="Y113" s="312">
        <v>75000</v>
      </c>
      <c r="Z113" s="325">
        <v>75000</v>
      </c>
      <c r="AA113" s="325">
        <v>0</v>
      </c>
      <c r="AB113" s="326"/>
      <c r="AC113" s="324">
        <v>75000</v>
      </c>
      <c r="AD113" s="324"/>
      <c r="AE113" s="324"/>
      <c r="AF113" s="324"/>
      <c r="AG113" s="324"/>
      <c r="AH113" s="324"/>
      <c r="AI113" s="312">
        <v>75000</v>
      </c>
      <c r="AJ113" s="327">
        <v>75000</v>
      </c>
      <c r="AK113" s="327">
        <v>0</v>
      </c>
      <c r="AL113" s="328"/>
      <c r="AM113" s="324"/>
      <c r="AN113" s="324"/>
      <c r="AO113" s="324"/>
      <c r="AP113" s="324"/>
      <c r="AQ113" s="324"/>
      <c r="AR113" s="324"/>
      <c r="AS113" s="293"/>
      <c r="AT113" s="327">
        <v>0</v>
      </c>
      <c r="AU113" s="327">
        <v>0</v>
      </c>
      <c r="AV113" s="328"/>
      <c r="AW113" s="279"/>
      <c r="AX113" s="279"/>
      <c r="AY113" s="279"/>
      <c r="AZ113" s="279"/>
      <c r="BA113" s="279"/>
      <c r="BB113" s="279"/>
      <c r="BC113" s="293"/>
      <c r="BD113" s="319"/>
      <c r="BE113" s="293"/>
      <c r="BF113" s="319"/>
      <c r="BG113" s="293"/>
      <c r="BH113" s="293"/>
      <c r="BI113" s="337">
        <v>150000</v>
      </c>
      <c r="BJ113" s="338">
        <v>0</v>
      </c>
      <c r="BK113" s="126" t="s">
        <v>906</v>
      </c>
    </row>
    <row r="114" spans="1:64" ht="15.75">
      <c r="A114" s="314">
        <v>512329</v>
      </c>
      <c r="B114" s="125" t="s">
        <v>902</v>
      </c>
      <c r="C114" s="124" t="s">
        <v>76</v>
      </c>
      <c r="D114" s="126">
        <v>206595</v>
      </c>
      <c r="E114" s="148" t="s">
        <v>903</v>
      </c>
      <c r="F114" s="148" t="s">
        <v>904</v>
      </c>
      <c r="G114" s="127" t="s">
        <v>46</v>
      </c>
      <c r="H114" s="126" t="s">
        <v>597</v>
      </c>
      <c r="I114" s="126" t="s">
        <v>609</v>
      </c>
      <c r="J114" s="126" t="s">
        <v>710</v>
      </c>
      <c r="K114" s="128" t="s">
        <v>711</v>
      </c>
      <c r="L114" s="121" t="s">
        <v>5</v>
      </c>
      <c r="M114" s="123" t="s">
        <v>706</v>
      </c>
      <c r="N114" s="129">
        <v>44287</v>
      </c>
      <c r="O114" s="129">
        <v>44651</v>
      </c>
      <c r="P114" s="129">
        <v>44651</v>
      </c>
      <c r="Q114" s="330">
        <v>60500</v>
      </c>
      <c r="R114" s="324"/>
      <c r="S114" s="324">
        <v>40000</v>
      </c>
      <c r="T114" s="324"/>
      <c r="U114" s="324">
        <v>11000</v>
      </c>
      <c r="V114" s="324"/>
      <c r="W114" s="324">
        <v>5500</v>
      </c>
      <c r="X114" s="324">
        <v>4000</v>
      </c>
      <c r="Y114" s="312">
        <v>60500</v>
      </c>
      <c r="Z114" s="325">
        <v>60500</v>
      </c>
      <c r="AA114" s="325">
        <v>0</v>
      </c>
      <c r="AB114" s="326"/>
      <c r="AC114" s="324">
        <v>50000</v>
      </c>
      <c r="AD114" s="324"/>
      <c r="AE114" s="324">
        <v>11000</v>
      </c>
      <c r="AF114" s="324"/>
      <c r="AG114" s="324">
        <v>9500</v>
      </c>
      <c r="AH114" s="324">
        <v>4000</v>
      </c>
      <c r="AI114" s="312">
        <v>74500</v>
      </c>
      <c r="AJ114" s="327">
        <v>74500</v>
      </c>
      <c r="AK114" s="327">
        <v>0</v>
      </c>
      <c r="AL114" s="328"/>
      <c r="AM114" s="324"/>
      <c r="AN114" s="324"/>
      <c r="AO114" s="324"/>
      <c r="AP114" s="324"/>
      <c r="AQ114" s="324"/>
      <c r="AR114" s="279"/>
      <c r="AS114" s="293"/>
      <c r="AT114" s="327"/>
      <c r="AU114" s="327"/>
      <c r="AV114" s="328"/>
      <c r="AW114" s="324"/>
      <c r="AX114" s="324"/>
      <c r="AY114" s="324"/>
      <c r="AZ114" s="324"/>
      <c r="BA114" s="324"/>
      <c r="BB114" s="324"/>
      <c r="BC114" s="293"/>
      <c r="BD114" s="319"/>
      <c r="BE114" s="293"/>
      <c r="BF114" s="319"/>
      <c r="BG114" s="293"/>
      <c r="BH114" s="293"/>
      <c r="BI114" s="337">
        <v>135000</v>
      </c>
      <c r="BJ114" s="338">
        <v>74500</v>
      </c>
      <c r="BK114" s="165"/>
    </row>
    <row r="115" spans="1:64" ht="15.75">
      <c r="A115" s="314">
        <v>502562</v>
      </c>
      <c r="B115" s="125" t="s">
        <v>907</v>
      </c>
      <c r="C115" s="124" t="s">
        <v>908</v>
      </c>
      <c r="D115" s="126">
        <v>206976</v>
      </c>
      <c r="E115" s="121" t="s">
        <v>909</v>
      </c>
      <c r="F115" s="121" t="s">
        <v>910</v>
      </c>
      <c r="G115" s="127" t="s">
        <v>46</v>
      </c>
      <c r="H115" s="123" t="s">
        <v>597</v>
      </c>
      <c r="I115" s="126" t="s">
        <v>598</v>
      </c>
      <c r="J115" s="126" t="s">
        <v>635</v>
      </c>
      <c r="K115" s="128" t="s">
        <v>911</v>
      </c>
      <c r="L115" s="121" t="s">
        <v>19</v>
      </c>
      <c r="M115" s="123" t="s">
        <v>912</v>
      </c>
      <c r="N115" s="129">
        <v>42826</v>
      </c>
      <c r="O115" s="129">
        <v>43555</v>
      </c>
      <c r="P115" s="129">
        <v>43646</v>
      </c>
      <c r="Q115" s="330">
        <v>200000</v>
      </c>
      <c r="R115" s="331"/>
      <c r="S115" s="324">
        <v>26500</v>
      </c>
      <c r="T115" s="324">
        <v>0</v>
      </c>
      <c r="U115" s="324">
        <v>58500</v>
      </c>
      <c r="V115" s="324">
        <v>0</v>
      </c>
      <c r="W115" s="324">
        <v>15000</v>
      </c>
      <c r="X115" s="324">
        <v>0</v>
      </c>
      <c r="Y115" s="312">
        <v>100000</v>
      </c>
      <c r="Z115" s="325">
        <v>100000</v>
      </c>
      <c r="AA115" s="325">
        <v>0</v>
      </c>
      <c r="AB115" s="326"/>
      <c r="AC115" s="324">
        <v>26500</v>
      </c>
      <c r="AD115" s="324">
        <v>0</v>
      </c>
      <c r="AE115" s="324">
        <v>61713.73</v>
      </c>
      <c r="AF115" s="324">
        <v>0</v>
      </c>
      <c r="AG115" s="324">
        <v>11786.27</v>
      </c>
      <c r="AH115" s="324"/>
      <c r="AI115" s="312">
        <v>100000.00000000001</v>
      </c>
      <c r="AJ115" s="327">
        <v>100000.00000000001</v>
      </c>
      <c r="AK115" s="327">
        <v>0</v>
      </c>
      <c r="AL115" s="339"/>
      <c r="AM115" s="324">
        <v>0</v>
      </c>
      <c r="AN115" s="324">
        <v>0</v>
      </c>
      <c r="AO115" s="324">
        <v>0</v>
      </c>
      <c r="AP115" s="324">
        <v>0</v>
      </c>
      <c r="AQ115" s="324">
        <v>0</v>
      </c>
      <c r="AR115" s="324">
        <v>0</v>
      </c>
      <c r="AS115" s="293">
        <v>0</v>
      </c>
      <c r="AT115" s="327">
        <v>0</v>
      </c>
      <c r="AU115" s="327">
        <v>0</v>
      </c>
      <c r="AV115" s="328"/>
      <c r="AW115" s="279"/>
      <c r="AX115" s="279"/>
      <c r="AY115" s="279"/>
      <c r="AZ115" s="279"/>
      <c r="BA115" s="279"/>
      <c r="BB115" s="279"/>
      <c r="BC115" s="293"/>
      <c r="BD115" s="319"/>
      <c r="BE115" s="293"/>
      <c r="BF115" s="319"/>
      <c r="BG115" s="293"/>
      <c r="BH115" s="293"/>
      <c r="BI115" s="337">
        <v>200000</v>
      </c>
      <c r="BJ115" s="338">
        <v>0</v>
      </c>
      <c r="BK115" s="124" t="s">
        <v>913</v>
      </c>
    </row>
    <row r="116" spans="1:64" ht="15.75">
      <c r="A116" s="314">
        <v>506456</v>
      </c>
      <c r="B116" s="340" t="s">
        <v>914</v>
      </c>
      <c r="C116" s="124" t="s">
        <v>915</v>
      </c>
      <c r="D116" s="126">
        <v>207032</v>
      </c>
      <c r="E116" s="124" t="s">
        <v>916</v>
      </c>
      <c r="F116" s="124" t="s">
        <v>917</v>
      </c>
      <c r="G116" s="127" t="s">
        <v>46</v>
      </c>
      <c r="H116" s="126" t="s">
        <v>628</v>
      </c>
      <c r="I116" s="126" t="s">
        <v>918</v>
      </c>
      <c r="J116" s="126" t="s">
        <v>919</v>
      </c>
      <c r="K116" s="126" t="s">
        <v>920</v>
      </c>
      <c r="L116" s="121" t="s">
        <v>19</v>
      </c>
      <c r="M116" s="123" t="s">
        <v>921</v>
      </c>
      <c r="N116" s="129">
        <v>43556</v>
      </c>
      <c r="O116" s="129">
        <v>44742</v>
      </c>
      <c r="P116" s="129">
        <v>44742</v>
      </c>
      <c r="Q116" s="323">
        <v>100000</v>
      </c>
      <c r="R116" s="319"/>
      <c r="S116" s="324">
        <v>27000</v>
      </c>
      <c r="T116" s="324">
        <v>0</v>
      </c>
      <c r="U116" s="324">
        <v>13000</v>
      </c>
      <c r="V116" s="324">
        <v>0</v>
      </c>
      <c r="W116" s="324">
        <v>5000</v>
      </c>
      <c r="X116" s="324">
        <v>5000</v>
      </c>
      <c r="Y116" s="312">
        <v>50000</v>
      </c>
      <c r="Z116" s="325">
        <v>50000</v>
      </c>
      <c r="AA116" s="325">
        <v>0</v>
      </c>
      <c r="AB116" s="326"/>
      <c r="AC116" s="324">
        <v>27000</v>
      </c>
      <c r="AD116" s="324">
        <v>0</v>
      </c>
      <c r="AE116" s="324">
        <v>13000</v>
      </c>
      <c r="AF116" s="324">
        <v>0</v>
      </c>
      <c r="AG116" s="324">
        <v>5000</v>
      </c>
      <c r="AH116" s="324">
        <v>5000</v>
      </c>
      <c r="AI116" s="312">
        <v>50000</v>
      </c>
      <c r="AJ116" s="327">
        <v>50000</v>
      </c>
      <c r="AK116" s="327">
        <v>0</v>
      </c>
      <c r="AL116" s="339"/>
      <c r="AM116" s="324" t="s">
        <v>602</v>
      </c>
      <c r="AN116" s="324" t="s">
        <v>602</v>
      </c>
      <c r="AO116" s="324" t="s">
        <v>602</v>
      </c>
      <c r="AP116" s="324" t="s">
        <v>602</v>
      </c>
      <c r="AQ116" s="324" t="s">
        <v>602</v>
      </c>
      <c r="AR116" s="279"/>
      <c r="AS116" s="293"/>
      <c r="AT116" s="327">
        <v>0</v>
      </c>
      <c r="AU116" s="327">
        <v>0</v>
      </c>
      <c r="AV116" s="328"/>
      <c r="AW116" s="279"/>
      <c r="AX116" s="279"/>
      <c r="AY116" s="279"/>
      <c r="AZ116" s="279"/>
      <c r="BA116" s="279"/>
      <c r="BB116" s="279"/>
      <c r="BC116" s="293"/>
      <c r="BD116" s="319"/>
      <c r="BE116" s="293"/>
      <c r="BF116" s="319"/>
      <c r="BG116" s="293"/>
      <c r="BH116" s="293"/>
      <c r="BI116" s="337">
        <v>100000</v>
      </c>
      <c r="BJ116" s="338">
        <v>0</v>
      </c>
      <c r="BK116" s="282" t="s">
        <v>922</v>
      </c>
    </row>
    <row r="117" spans="1:64" ht="15.75">
      <c r="A117" s="314">
        <v>500007</v>
      </c>
      <c r="B117" s="125" t="s">
        <v>923</v>
      </c>
      <c r="C117" s="124" t="s">
        <v>924</v>
      </c>
      <c r="D117" s="126">
        <v>207150</v>
      </c>
      <c r="E117" s="148" t="s">
        <v>925</v>
      </c>
      <c r="F117" s="148" t="s">
        <v>926</v>
      </c>
      <c r="G117" s="127" t="s">
        <v>46</v>
      </c>
      <c r="H117" s="149" t="s">
        <v>597</v>
      </c>
      <c r="I117" s="126" t="s">
        <v>609</v>
      </c>
      <c r="J117" s="126" t="s">
        <v>610</v>
      </c>
      <c r="K117" s="128" t="s">
        <v>611</v>
      </c>
      <c r="L117" s="121" t="s">
        <v>637</v>
      </c>
      <c r="M117" s="123" t="s">
        <v>638</v>
      </c>
      <c r="N117" s="129">
        <v>42248</v>
      </c>
      <c r="O117" s="129">
        <v>42460</v>
      </c>
      <c r="P117" s="129">
        <v>43921</v>
      </c>
      <c r="Q117" s="330">
        <v>21000</v>
      </c>
      <c r="R117" s="324">
        <v>21000</v>
      </c>
      <c r="S117" s="324"/>
      <c r="T117" s="324">
        <v>0</v>
      </c>
      <c r="U117" s="324">
        <v>0</v>
      </c>
      <c r="V117" s="324"/>
      <c r="W117" s="324">
        <v>0</v>
      </c>
      <c r="X117" s="324">
        <v>0</v>
      </c>
      <c r="Y117" s="312">
        <v>21000</v>
      </c>
      <c r="Z117" s="325">
        <v>21000</v>
      </c>
      <c r="AA117" s="325">
        <v>0</v>
      </c>
      <c r="AB117" s="326"/>
      <c r="AC117" s="324" t="s">
        <v>602</v>
      </c>
      <c r="AD117" s="324" t="s">
        <v>602</v>
      </c>
      <c r="AE117" s="324" t="s">
        <v>602</v>
      </c>
      <c r="AF117" s="324" t="s">
        <v>602</v>
      </c>
      <c r="AG117" s="324" t="s">
        <v>602</v>
      </c>
      <c r="AH117" s="324"/>
      <c r="AI117" s="312">
        <v>0</v>
      </c>
      <c r="AJ117" s="327">
        <v>0</v>
      </c>
      <c r="AK117" s="327">
        <v>0</v>
      </c>
      <c r="AL117" s="328"/>
      <c r="AM117" s="324">
        <v>0</v>
      </c>
      <c r="AN117" s="324">
        <v>0</v>
      </c>
      <c r="AO117" s="324">
        <v>0</v>
      </c>
      <c r="AP117" s="324">
        <v>0</v>
      </c>
      <c r="AQ117" s="324">
        <v>0</v>
      </c>
      <c r="AR117" s="324">
        <v>0</v>
      </c>
      <c r="AS117" s="293">
        <v>0</v>
      </c>
      <c r="AT117" s="327">
        <v>0</v>
      </c>
      <c r="AU117" s="327">
        <v>0</v>
      </c>
      <c r="AV117" s="328"/>
      <c r="AW117" s="324" t="s">
        <v>602</v>
      </c>
      <c r="AX117" s="324" t="s">
        <v>602</v>
      </c>
      <c r="AY117" s="324" t="s">
        <v>602</v>
      </c>
      <c r="AZ117" s="324" t="s">
        <v>602</v>
      </c>
      <c r="BA117" s="324"/>
      <c r="BB117" s="324" t="s">
        <v>602</v>
      </c>
      <c r="BC117" s="293"/>
      <c r="BD117" s="319"/>
      <c r="BE117" s="293"/>
      <c r="BF117" s="319"/>
      <c r="BG117" s="293"/>
      <c r="BH117" s="293"/>
      <c r="BI117" s="337">
        <v>21000</v>
      </c>
      <c r="BJ117" s="338">
        <v>0</v>
      </c>
      <c r="BK117" s="280" t="s">
        <v>844</v>
      </c>
    </row>
    <row r="118" spans="1:64" ht="15.75">
      <c r="A118" s="314">
        <v>501346</v>
      </c>
      <c r="B118" s="125" t="s">
        <v>923</v>
      </c>
      <c r="C118" s="124" t="s">
        <v>924</v>
      </c>
      <c r="D118" s="126">
        <v>207150</v>
      </c>
      <c r="E118" s="148" t="s">
        <v>925</v>
      </c>
      <c r="F118" s="148" t="s">
        <v>926</v>
      </c>
      <c r="G118" s="127" t="s">
        <v>46</v>
      </c>
      <c r="H118" s="149" t="s">
        <v>628</v>
      </c>
      <c r="I118" s="126" t="s">
        <v>609</v>
      </c>
      <c r="J118" s="126" t="s">
        <v>610</v>
      </c>
      <c r="K118" s="128" t="s">
        <v>611</v>
      </c>
      <c r="L118" s="121" t="s">
        <v>515</v>
      </c>
      <c r="M118" s="143" t="s">
        <v>744</v>
      </c>
      <c r="N118" s="129">
        <v>42614</v>
      </c>
      <c r="O118" s="129">
        <v>43830</v>
      </c>
      <c r="P118" s="129">
        <v>43830</v>
      </c>
      <c r="Q118" s="330">
        <v>138000</v>
      </c>
      <c r="R118" s="331"/>
      <c r="S118" s="324">
        <v>36000</v>
      </c>
      <c r="T118" s="324">
        <v>0</v>
      </c>
      <c r="U118" s="324">
        <v>10000</v>
      </c>
      <c r="V118" s="324"/>
      <c r="W118" s="324">
        <v>0</v>
      </c>
      <c r="X118" s="324"/>
      <c r="Y118" s="312">
        <v>46000</v>
      </c>
      <c r="Z118" s="325">
        <v>46000</v>
      </c>
      <c r="AA118" s="325">
        <v>0</v>
      </c>
      <c r="AB118" s="326"/>
      <c r="AC118" s="324">
        <v>36000</v>
      </c>
      <c r="AD118" s="324">
        <v>0</v>
      </c>
      <c r="AE118" s="324">
        <v>10000</v>
      </c>
      <c r="AF118" s="324">
        <v>0</v>
      </c>
      <c r="AG118" s="324">
        <v>0</v>
      </c>
      <c r="AH118" s="324"/>
      <c r="AI118" s="312">
        <v>46000</v>
      </c>
      <c r="AJ118" s="327">
        <v>46000</v>
      </c>
      <c r="AK118" s="327">
        <v>0</v>
      </c>
      <c r="AL118" s="328"/>
      <c r="AM118" s="324">
        <v>36000</v>
      </c>
      <c r="AN118" s="324">
        <v>0</v>
      </c>
      <c r="AO118" s="324">
        <v>10000</v>
      </c>
      <c r="AP118" s="324">
        <v>0</v>
      </c>
      <c r="AQ118" s="324">
        <v>0</v>
      </c>
      <c r="AR118" s="324">
        <v>0</v>
      </c>
      <c r="AS118" s="293">
        <v>46000</v>
      </c>
      <c r="AT118" s="327">
        <v>46000</v>
      </c>
      <c r="AU118" s="327">
        <v>0</v>
      </c>
      <c r="AV118" s="328"/>
      <c r="AW118" s="279"/>
      <c r="AX118" s="283"/>
      <c r="AY118" s="283"/>
      <c r="AZ118" s="283"/>
      <c r="BA118" s="283"/>
      <c r="BB118" s="283"/>
      <c r="BC118" s="293"/>
      <c r="BD118" s="319"/>
      <c r="BE118" s="293"/>
      <c r="BF118" s="319"/>
      <c r="BG118" s="293"/>
      <c r="BH118" s="293"/>
      <c r="BI118" s="337">
        <v>138000</v>
      </c>
      <c r="BJ118" s="338">
        <v>0</v>
      </c>
      <c r="BK118" s="280"/>
    </row>
    <row r="119" spans="1:64" ht="15.75">
      <c r="A119" s="314">
        <v>502069</v>
      </c>
      <c r="B119" s="125" t="s">
        <v>923</v>
      </c>
      <c r="C119" s="124" t="s">
        <v>924</v>
      </c>
      <c r="D119" s="126">
        <v>207150</v>
      </c>
      <c r="E119" s="148" t="s">
        <v>925</v>
      </c>
      <c r="F119" s="148" t="s">
        <v>926</v>
      </c>
      <c r="G119" s="127" t="s">
        <v>46</v>
      </c>
      <c r="H119" s="149" t="s">
        <v>597</v>
      </c>
      <c r="I119" s="126" t="s">
        <v>609</v>
      </c>
      <c r="J119" s="126" t="s">
        <v>610</v>
      </c>
      <c r="K119" s="128" t="s">
        <v>611</v>
      </c>
      <c r="L119" s="124" t="s">
        <v>521</v>
      </c>
      <c r="M119" s="123" t="s">
        <v>927</v>
      </c>
      <c r="N119" s="129">
        <v>42736</v>
      </c>
      <c r="O119" s="129">
        <v>43465</v>
      </c>
      <c r="P119" s="129">
        <v>43921</v>
      </c>
      <c r="Q119" s="330">
        <v>30000</v>
      </c>
      <c r="R119" s="331"/>
      <c r="S119" s="324">
        <v>15000</v>
      </c>
      <c r="T119" s="324">
        <v>0</v>
      </c>
      <c r="U119" s="324">
        <v>0</v>
      </c>
      <c r="V119" s="324">
        <v>0</v>
      </c>
      <c r="W119" s="324">
        <v>0</v>
      </c>
      <c r="X119" s="324">
        <v>0</v>
      </c>
      <c r="Y119" s="312">
        <v>15000</v>
      </c>
      <c r="Z119" s="325">
        <v>15000</v>
      </c>
      <c r="AA119" s="325">
        <v>0</v>
      </c>
      <c r="AB119" s="326"/>
      <c r="AC119" s="324">
        <v>15000</v>
      </c>
      <c r="AD119" s="324">
        <v>0</v>
      </c>
      <c r="AE119" s="324">
        <v>0</v>
      </c>
      <c r="AF119" s="324">
        <v>0</v>
      </c>
      <c r="AG119" s="324">
        <v>0</v>
      </c>
      <c r="AH119" s="324"/>
      <c r="AI119" s="312">
        <v>15000</v>
      </c>
      <c r="AJ119" s="327">
        <v>15000</v>
      </c>
      <c r="AK119" s="327">
        <v>0</v>
      </c>
      <c r="AL119" s="328"/>
      <c r="AM119" s="324">
        <v>0</v>
      </c>
      <c r="AN119" s="324">
        <v>0</v>
      </c>
      <c r="AO119" s="324">
        <v>0</v>
      </c>
      <c r="AP119" s="324">
        <v>0</v>
      </c>
      <c r="AQ119" s="324">
        <v>0</v>
      </c>
      <c r="AR119" s="324">
        <v>0</v>
      </c>
      <c r="AS119" s="293">
        <v>0</v>
      </c>
      <c r="AT119" s="327">
        <v>0</v>
      </c>
      <c r="AU119" s="327">
        <v>0</v>
      </c>
      <c r="AV119" s="328"/>
      <c r="AW119" s="279"/>
      <c r="AX119" s="279"/>
      <c r="AY119" s="279"/>
      <c r="AZ119" s="279"/>
      <c r="BA119" s="279"/>
      <c r="BB119" s="279"/>
      <c r="BC119" s="293"/>
      <c r="BD119" s="319"/>
      <c r="BE119" s="293"/>
      <c r="BF119" s="319"/>
      <c r="BG119" s="293"/>
      <c r="BH119" s="293"/>
      <c r="BI119" s="337">
        <v>30000</v>
      </c>
      <c r="BJ119" s="338">
        <v>0</v>
      </c>
      <c r="BK119" s="126" t="s">
        <v>928</v>
      </c>
    </row>
    <row r="120" spans="1:64" ht="15.75">
      <c r="A120" s="314">
        <v>501348</v>
      </c>
      <c r="B120" s="125" t="s">
        <v>929</v>
      </c>
      <c r="C120" s="124" t="s">
        <v>930</v>
      </c>
      <c r="D120" s="126">
        <v>207172</v>
      </c>
      <c r="E120" s="121" t="s">
        <v>931</v>
      </c>
      <c r="F120" s="121" t="s">
        <v>932</v>
      </c>
      <c r="G120" s="127" t="s">
        <v>46</v>
      </c>
      <c r="H120" s="123" t="s">
        <v>628</v>
      </c>
      <c r="I120" s="126" t="s">
        <v>609</v>
      </c>
      <c r="J120" s="126" t="s">
        <v>807</v>
      </c>
      <c r="K120" s="128" t="s">
        <v>933</v>
      </c>
      <c r="L120" s="121" t="s">
        <v>515</v>
      </c>
      <c r="M120" s="143" t="s">
        <v>934</v>
      </c>
      <c r="N120" s="129">
        <v>42614</v>
      </c>
      <c r="O120" s="129">
        <v>44286</v>
      </c>
      <c r="P120" s="129">
        <v>44334</v>
      </c>
      <c r="Q120" s="330">
        <v>75000</v>
      </c>
      <c r="R120" s="331"/>
      <c r="S120" s="324">
        <v>23000</v>
      </c>
      <c r="T120" s="324">
        <v>2000</v>
      </c>
      <c r="U120" s="324">
        <v>0</v>
      </c>
      <c r="V120" s="324"/>
      <c r="W120" s="324">
        <v>0</v>
      </c>
      <c r="X120" s="324">
        <v>0</v>
      </c>
      <c r="Y120" s="312">
        <v>25000</v>
      </c>
      <c r="Z120" s="325">
        <v>25000</v>
      </c>
      <c r="AA120" s="325">
        <v>0</v>
      </c>
      <c r="AB120" s="326"/>
      <c r="AC120" s="324">
        <v>23000</v>
      </c>
      <c r="AD120" s="324">
        <v>0</v>
      </c>
      <c r="AE120" s="324">
        <v>2000</v>
      </c>
      <c r="AF120" s="324">
        <v>0</v>
      </c>
      <c r="AG120" s="324">
        <v>0</v>
      </c>
      <c r="AH120" s="324"/>
      <c r="AI120" s="312">
        <v>25000</v>
      </c>
      <c r="AJ120" s="327">
        <v>25000</v>
      </c>
      <c r="AK120" s="327">
        <v>0</v>
      </c>
      <c r="AL120" s="328"/>
      <c r="AM120" s="279">
        <v>23000</v>
      </c>
      <c r="AN120" s="279">
        <v>0</v>
      </c>
      <c r="AO120" s="279">
        <v>2000</v>
      </c>
      <c r="AP120" s="279"/>
      <c r="AQ120" s="279">
        <v>0</v>
      </c>
      <c r="AR120" s="279">
        <v>0</v>
      </c>
      <c r="AS120" s="293">
        <v>25000</v>
      </c>
      <c r="AT120" s="327">
        <v>25000</v>
      </c>
      <c r="AU120" s="327">
        <v>0</v>
      </c>
      <c r="AV120" s="328"/>
      <c r="AW120" s="279"/>
      <c r="AX120" s="279"/>
      <c r="AY120" s="279"/>
      <c r="AZ120" s="279"/>
      <c r="BA120" s="279"/>
      <c r="BB120" s="279"/>
      <c r="BC120" s="293"/>
      <c r="BD120" s="319"/>
      <c r="BE120" s="293"/>
      <c r="BF120" s="319"/>
      <c r="BG120" s="293"/>
      <c r="BH120" s="293"/>
      <c r="BI120" s="337">
        <v>75000</v>
      </c>
      <c r="BJ120" s="338">
        <v>0</v>
      </c>
      <c r="BK120" s="280"/>
    </row>
    <row r="121" spans="1:64" ht="15.75">
      <c r="A121" s="314">
        <v>500463</v>
      </c>
      <c r="B121" s="125" t="s">
        <v>935</v>
      </c>
      <c r="C121" s="124" t="s">
        <v>936</v>
      </c>
      <c r="D121" s="126">
        <v>207221</v>
      </c>
      <c r="E121" s="121" t="s">
        <v>937</v>
      </c>
      <c r="F121" s="121" t="s">
        <v>938</v>
      </c>
      <c r="G121" s="127" t="s">
        <v>46</v>
      </c>
      <c r="H121" s="123" t="s">
        <v>597</v>
      </c>
      <c r="I121" s="126" t="s">
        <v>609</v>
      </c>
      <c r="J121" s="126" t="s">
        <v>939</v>
      </c>
      <c r="K121" s="128" t="s">
        <v>940</v>
      </c>
      <c r="L121" s="124" t="s">
        <v>521</v>
      </c>
      <c r="M121" s="143" t="s">
        <v>661</v>
      </c>
      <c r="N121" s="129">
        <v>42401</v>
      </c>
      <c r="O121" s="129">
        <v>43131</v>
      </c>
      <c r="P121" s="129">
        <v>43131</v>
      </c>
      <c r="Q121" s="330">
        <v>60000</v>
      </c>
      <c r="R121" s="331"/>
      <c r="S121" s="324">
        <v>30000</v>
      </c>
      <c r="T121" s="324">
        <v>0</v>
      </c>
      <c r="U121" s="324">
        <v>0</v>
      </c>
      <c r="V121" s="324">
        <v>0</v>
      </c>
      <c r="W121" s="324">
        <v>0</v>
      </c>
      <c r="X121" s="324">
        <v>0</v>
      </c>
      <c r="Y121" s="312">
        <v>30000</v>
      </c>
      <c r="Z121" s="325">
        <v>30000</v>
      </c>
      <c r="AA121" s="325">
        <v>0</v>
      </c>
      <c r="AB121" s="326"/>
      <c r="AC121" s="324">
        <v>30000</v>
      </c>
      <c r="AD121" s="324">
        <v>0</v>
      </c>
      <c r="AE121" s="324">
        <v>0</v>
      </c>
      <c r="AF121" s="324">
        <v>0</v>
      </c>
      <c r="AG121" s="324">
        <v>0</v>
      </c>
      <c r="AH121" s="324"/>
      <c r="AI121" s="312">
        <v>30000</v>
      </c>
      <c r="AJ121" s="327">
        <v>30000</v>
      </c>
      <c r="AK121" s="327">
        <v>0</v>
      </c>
      <c r="AL121" s="328"/>
      <c r="AM121" s="324">
        <v>0</v>
      </c>
      <c r="AN121" s="324">
        <v>0</v>
      </c>
      <c r="AO121" s="324">
        <v>0</v>
      </c>
      <c r="AP121" s="324">
        <v>0</v>
      </c>
      <c r="AQ121" s="324">
        <v>0</v>
      </c>
      <c r="AR121" s="324">
        <v>0</v>
      </c>
      <c r="AS121" s="293">
        <v>0</v>
      </c>
      <c r="AT121" s="327">
        <v>0</v>
      </c>
      <c r="AU121" s="327">
        <v>0</v>
      </c>
      <c r="AV121" s="328"/>
      <c r="AW121" s="279"/>
      <c r="AX121" s="279"/>
      <c r="AY121" s="279"/>
      <c r="AZ121" s="279"/>
      <c r="BA121" s="279"/>
      <c r="BB121" s="279"/>
      <c r="BC121" s="293"/>
      <c r="BD121" s="319"/>
      <c r="BE121" s="293"/>
      <c r="BF121" s="319"/>
      <c r="BG121" s="293"/>
      <c r="BH121" s="293"/>
      <c r="BI121" s="337">
        <v>60000</v>
      </c>
      <c r="BJ121" s="338">
        <v>0</v>
      </c>
      <c r="BK121" s="123" t="s">
        <v>941</v>
      </c>
      <c r="BL121" s="91" t="s">
        <v>942</v>
      </c>
    </row>
    <row r="122" spans="1:64" ht="15.75">
      <c r="A122" s="314">
        <v>501344</v>
      </c>
      <c r="B122" s="125" t="s">
        <v>943</v>
      </c>
      <c r="C122" s="124" t="s">
        <v>203</v>
      </c>
      <c r="D122" s="126">
        <v>207233</v>
      </c>
      <c r="E122" s="121" t="s">
        <v>944</v>
      </c>
      <c r="F122" s="121" t="s">
        <v>945</v>
      </c>
      <c r="G122" s="127" t="s">
        <v>46</v>
      </c>
      <c r="H122" s="123" t="s">
        <v>597</v>
      </c>
      <c r="I122" s="126" t="s">
        <v>609</v>
      </c>
      <c r="J122" s="126" t="s">
        <v>610</v>
      </c>
      <c r="K122" s="128" t="s">
        <v>611</v>
      </c>
      <c r="L122" s="121" t="s">
        <v>515</v>
      </c>
      <c r="M122" s="143" t="s">
        <v>667</v>
      </c>
      <c r="N122" s="129">
        <v>42614</v>
      </c>
      <c r="O122" s="129">
        <v>43708</v>
      </c>
      <c r="P122" s="129">
        <v>43992</v>
      </c>
      <c r="Q122" s="330">
        <v>296250</v>
      </c>
      <c r="R122" s="331"/>
      <c r="S122" s="324">
        <v>32500</v>
      </c>
      <c r="T122" s="324">
        <v>0</v>
      </c>
      <c r="U122" s="324">
        <v>23750</v>
      </c>
      <c r="V122" s="324"/>
      <c r="W122" s="324">
        <v>15000</v>
      </c>
      <c r="X122" s="324"/>
      <c r="Y122" s="312">
        <v>71250</v>
      </c>
      <c r="Z122" s="325">
        <v>71250</v>
      </c>
      <c r="AA122" s="325">
        <v>0</v>
      </c>
      <c r="AB122" s="326"/>
      <c r="AC122" s="324">
        <v>65000</v>
      </c>
      <c r="AD122" s="324">
        <v>0</v>
      </c>
      <c r="AE122" s="324">
        <v>47500</v>
      </c>
      <c r="AF122" s="324">
        <v>0</v>
      </c>
      <c r="AG122" s="324">
        <v>0</v>
      </c>
      <c r="AH122" s="324"/>
      <c r="AI122" s="312">
        <v>112500</v>
      </c>
      <c r="AJ122" s="327">
        <v>112500</v>
      </c>
      <c r="AK122" s="327">
        <v>0</v>
      </c>
      <c r="AL122" s="328"/>
      <c r="AM122" s="324">
        <v>65000</v>
      </c>
      <c r="AN122" s="324">
        <v>0</v>
      </c>
      <c r="AO122" s="324">
        <v>47500</v>
      </c>
      <c r="AP122" s="324">
        <v>0</v>
      </c>
      <c r="AQ122" s="324">
        <v>0</v>
      </c>
      <c r="AR122" s="324">
        <v>0</v>
      </c>
      <c r="AS122" s="293">
        <v>112500</v>
      </c>
      <c r="AT122" s="327">
        <v>112500</v>
      </c>
      <c r="AU122" s="327">
        <v>0</v>
      </c>
      <c r="AV122" s="328"/>
      <c r="AW122" s="279"/>
      <c r="AX122" s="279"/>
      <c r="AY122" s="279"/>
      <c r="AZ122" s="279"/>
      <c r="BA122" s="279"/>
      <c r="BB122" s="279"/>
      <c r="BC122" s="293"/>
      <c r="BD122" s="319"/>
      <c r="BE122" s="293"/>
      <c r="BF122" s="319"/>
      <c r="BG122" s="293"/>
      <c r="BH122" s="293"/>
      <c r="BI122" s="337">
        <v>296250</v>
      </c>
      <c r="BJ122" s="338">
        <v>0</v>
      </c>
      <c r="BK122" s="280"/>
    </row>
    <row r="123" spans="1:64" ht="15.75">
      <c r="A123" s="314">
        <v>502100</v>
      </c>
      <c r="B123" s="125" t="s">
        <v>943</v>
      </c>
      <c r="C123" s="124" t="s">
        <v>203</v>
      </c>
      <c r="D123" s="126">
        <v>207233</v>
      </c>
      <c r="E123" s="121" t="s">
        <v>944</v>
      </c>
      <c r="F123" s="121" t="s">
        <v>945</v>
      </c>
      <c r="G123" s="127" t="s">
        <v>46</v>
      </c>
      <c r="H123" s="123" t="s">
        <v>597</v>
      </c>
      <c r="I123" s="126" t="s">
        <v>609</v>
      </c>
      <c r="J123" s="126" t="s">
        <v>610</v>
      </c>
      <c r="K123" s="128" t="s">
        <v>611</v>
      </c>
      <c r="L123" s="121" t="s">
        <v>652</v>
      </c>
      <c r="M123" s="123" t="s">
        <v>946</v>
      </c>
      <c r="N123" s="129">
        <v>42826</v>
      </c>
      <c r="O123" s="129">
        <v>43190</v>
      </c>
      <c r="P123" s="129">
        <v>43190</v>
      </c>
      <c r="Q123" s="330">
        <v>37500</v>
      </c>
      <c r="R123" s="331"/>
      <c r="S123" s="324">
        <v>18700</v>
      </c>
      <c r="T123" s="324">
        <v>0</v>
      </c>
      <c r="U123" s="324">
        <v>18350</v>
      </c>
      <c r="V123" s="324"/>
      <c r="W123" s="324"/>
      <c r="X123" s="324">
        <v>450</v>
      </c>
      <c r="Y123" s="312">
        <v>37500</v>
      </c>
      <c r="Z123" s="325">
        <v>37500</v>
      </c>
      <c r="AA123" s="325">
        <v>0</v>
      </c>
      <c r="AB123" s="326"/>
      <c r="AC123" s="324" t="s">
        <v>602</v>
      </c>
      <c r="AD123" s="324" t="s">
        <v>602</v>
      </c>
      <c r="AE123" s="324" t="s">
        <v>602</v>
      </c>
      <c r="AF123" s="324" t="s">
        <v>602</v>
      </c>
      <c r="AG123" s="324" t="s">
        <v>602</v>
      </c>
      <c r="AH123" s="324"/>
      <c r="AI123" s="312">
        <v>0</v>
      </c>
      <c r="AJ123" s="327">
        <v>0</v>
      </c>
      <c r="AK123" s="327">
        <v>0</v>
      </c>
      <c r="AL123" s="328"/>
      <c r="AM123" s="324">
        <v>0</v>
      </c>
      <c r="AN123" s="324">
        <v>0</v>
      </c>
      <c r="AO123" s="324">
        <v>0</v>
      </c>
      <c r="AP123" s="324">
        <v>0</v>
      </c>
      <c r="AQ123" s="324">
        <v>0</v>
      </c>
      <c r="AR123" s="324">
        <v>0</v>
      </c>
      <c r="AS123" s="293">
        <v>0</v>
      </c>
      <c r="AT123" s="327">
        <v>0</v>
      </c>
      <c r="AU123" s="327">
        <v>0</v>
      </c>
      <c r="AV123" s="328"/>
      <c r="AW123" s="166"/>
      <c r="AX123" s="166"/>
      <c r="AY123" s="166"/>
      <c r="AZ123" s="166"/>
      <c r="BA123" s="166"/>
      <c r="BB123" s="166"/>
      <c r="BC123" s="293"/>
      <c r="BD123" s="319"/>
      <c r="BE123" s="293"/>
      <c r="BF123" s="319"/>
      <c r="BG123" s="293"/>
      <c r="BH123" s="293"/>
      <c r="BI123" s="337">
        <v>37500</v>
      </c>
      <c r="BJ123" s="338">
        <v>0</v>
      </c>
      <c r="BK123" s="126" t="s">
        <v>947</v>
      </c>
    </row>
    <row r="124" spans="1:64" ht="15.75">
      <c r="A124" s="333">
        <v>506451</v>
      </c>
      <c r="B124" s="125" t="s">
        <v>943</v>
      </c>
      <c r="C124" s="124" t="s">
        <v>203</v>
      </c>
      <c r="D124" s="126">
        <v>207233</v>
      </c>
      <c r="E124" s="123" t="s">
        <v>944</v>
      </c>
      <c r="F124" s="121" t="s">
        <v>945</v>
      </c>
      <c r="G124" s="127" t="s">
        <v>46</v>
      </c>
      <c r="H124" s="126" t="s">
        <v>597</v>
      </c>
      <c r="I124" s="126" t="s">
        <v>609</v>
      </c>
      <c r="J124" s="126" t="s">
        <v>610</v>
      </c>
      <c r="K124" s="128" t="s">
        <v>611</v>
      </c>
      <c r="L124" s="124" t="s">
        <v>517</v>
      </c>
      <c r="M124" s="126" t="s">
        <v>948</v>
      </c>
      <c r="N124" s="129">
        <v>43556</v>
      </c>
      <c r="O124" s="129">
        <v>44651</v>
      </c>
      <c r="P124" s="129">
        <v>44651</v>
      </c>
      <c r="Q124" s="330">
        <v>150000</v>
      </c>
      <c r="R124" s="331"/>
      <c r="S124" s="324">
        <v>50000</v>
      </c>
      <c r="T124" s="324"/>
      <c r="U124" s="324"/>
      <c r="V124" s="324"/>
      <c r="W124" s="324"/>
      <c r="X124" s="324"/>
      <c r="Y124" s="312">
        <v>50000</v>
      </c>
      <c r="Z124" s="325">
        <v>50000</v>
      </c>
      <c r="AA124" s="325">
        <v>0</v>
      </c>
      <c r="AB124" s="326"/>
      <c r="AC124" s="283">
        <v>50000</v>
      </c>
      <c r="AD124" s="283">
        <v>0</v>
      </c>
      <c r="AE124" s="283">
        <v>0</v>
      </c>
      <c r="AF124" s="283">
        <v>0</v>
      </c>
      <c r="AG124" s="283">
        <v>0</v>
      </c>
      <c r="AH124" s="283"/>
      <c r="AI124" s="312">
        <v>50000</v>
      </c>
      <c r="AJ124" s="327">
        <v>50000</v>
      </c>
      <c r="AK124" s="327">
        <v>0</v>
      </c>
      <c r="AL124" s="121"/>
      <c r="AM124" s="153">
        <v>50000</v>
      </c>
      <c r="AN124" s="153">
        <v>0</v>
      </c>
      <c r="AO124" s="153">
        <v>0</v>
      </c>
      <c r="AP124" s="153">
        <v>0</v>
      </c>
      <c r="AQ124" s="153">
        <v>0</v>
      </c>
      <c r="AR124" s="153"/>
      <c r="AS124" s="293">
        <v>50000</v>
      </c>
      <c r="AT124" s="327">
        <v>50000</v>
      </c>
      <c r="AU124" s="327">
        <v>0</v>
      </c>
      <c r="AV124" s="121"/>
      <c r="AW124" s="153"/>
      <c r="AX124" s="153"/>
      <c r="AY124" s="153"/>
      <c r="AZ124" s="153"/>
      <c r="BA124" s="153"/>
      <c r="BB124" s="153"/>
      <c r="BC124" s="154"/>
      <c r="BD124" s="99"/>
      <c r="BE124" s="154"/>
      <c r="BF124" s="99"/>
      <c r="BG124" s="154"/>
      <c r="BH124" s="154"/>
      <c r="BI124" s="337">
        <v>150000</v>
      </c>
      <c r="BJ124" s="338">
        <v>0</v>
      </c>
      <c r="BK124" s="282"/>
    </row>
    <row r="125" spans="1:64" ht="15.75">
      <c r="A125" s="314">
        <v>507638</v>
      </c>
      <c r="B125" s="125" t="s">
        <v>943</v>
      </c>
      <c r="C125" s="124" t="s">
        <v>203</v>
      </c>
      <c r="D125" s="126">
        <v>207233</v>
      </c>
      <c r="E125" s="124" t="s">
        <v>944</v>
      </c>
      <c r="F125" s="124" t="s">
        <v>945</v>
      </c>
      <c r="G125" s="127" t="s">
        <v>46</v>
      </c>
      <c r="H125" s="126" t="s">
        <v>628</v>
      </c>
      <c r="I125" s="126" t="s">
        <v>609</v>
      </c>
      <c r="J125" s="126" t="s">
        <v>610</v>
      </c>
      <c r="K125" s="128" t="s">
        <v>611</v>
      </c>
      <c r="L125" s="121" t="s">
        <v>519</v>
      </c>
      <c r="M125" s="123" t="s">
        <v>791</v>
      </c>
      <c r="N125" s="129">
        <v>43709</v>
      </c>
      <c r="O125" s="129">
        <v>44895</v>
      </c>
      <c r="P125" s="129">
        <v>44895</v>
      </c>
      <c r="Q125" s="323">
        <v>400000</v>
      </c>
      <c r="R125" s="319"/>
      <c r="S125" s="324">
        <v>80000</v>
      </c>
      <c r="T125" s="324">
        <v>1000</v>
      </c>
      <c r="U125" s="324">
        <v>36500</v>
      </c>
      <c r="V125" s="324"/>
      <c r="W125" s="324">
        <v>15000</v>
      </c>
      <c r="X125" s="324">
        <v>1000</v>
      </c>
      <c r="Y125" s="312">
        <v>133500</v>
      </c>
      <c r="Z125" s="325">
        <v>133500</v>
      </c>
      <c r="AA125" s="325">
        <v>0</v>
      </c>
      <c r="AB125" s="326"/>
      <c r="AC125" s="324">
        <v>80000</v>
      </c>
      <c r="AD125" s="324">
        <v>1000</v>
      </c>
      <c r="AE125" s="324">
        <v>37761.89</v>
      </c>
      <c r="AF125" s="324"/>
      <c r="AG125" s="324">
        <v>13951.86</v>
      </c>
      <c r="AH125" s="324">
        <v>536.25</v>
      </c>
      <c r="AI125" s="312">
        <v>133250</v>
      </c>
      <c r="AJ125" s="327">
        <v>133250</v>
      </c>
      <c r="AK125" s="327">
        <v>0</v>
      </c>
      <c r="AL125" s="328"/>
      <c r="AM125" s="324">
        <v>80000</v>
      </c>
      <c r="AN125" s="324">
        <v>1000</v>
      </c>
      <c r="AO125" s="324">
        <v>36250</v>
      </c>
      <c r="AP125" s="324">
        <v>0</v>
      </c>
      <c r="AQ125" s="324">
        <v>15000</v>
      </c>
      <c r="AR125" s="324">
        <v>1000</v>
      </c>
      <c r="AS125" s="293">
        <v>133250</v>
      </c>
      <c r="AT125" s="327">
        <v>133250</v>
      </c>
      <c r="AU125" s="327">
        <v>0</v>
      </c>
      <c r="AV125" s="328"/>
      <c r="AW125" s="279"/>
      <c r="AX125" s="279"/>
      <c r="AY125" s="279"/>
      <c r="AZ125" s="279"/>
      <c r="BA125" s="279"/>
      <c r="BB125" s="279"/>
      <c r="BC125" s="293"/>
      <c r="BD125" s="319"/>
      <c r="BE125" s="293"/>
      <c r="BF125" s="319"/>
      <c r="BG125" s="293"/>
      <c r="BH125" s="293"/>
      <c r="BI125" s="337">
        <v>400000</v>
      </c>
      <c r="BJ125" s="338">
        <v>0</v>
      </c>
      <c r="BK125" s="126"/>
    </row>
    <row r="126" spans="1:64" ht="15.75">
      <c r="A126" s="314">
        <v>509653</v>
      </c>
      <c r="B126" s="125" t="s">
        <v>943</v>
      </c>
      <c r="C126" s="183" t="s">
        <v>203</v>
      </c>
      <c r="D126" s="163">
        <v>207233</v>
      </c>
      <c r="E126" s="148" t="s">
        <v>944</v>
      </c>
      <c r="F126" s="148" t="s">
        <v>945</v>
      </c>
      <c r="G126" s="127" t="s">
        <v>46</v>
      </c>
      <c r="H126" s="164" t="s">
        <v>628</v>
      </c>
      <c r="I126" s="126" t="s">
        <v>609</v>
      </c>
      <c r="J126" s="126" t="s">
        <v>610</v>
      </c>
      <c r="K126" s="128" t="s">
        <v>611</v>
      </c>
      <c r="L126" s="121" t="s">
        <v>19</v>
      </c>
      <c r="M126" s="123" t="s">
        <v>949</v>
      </c>
      <c r="N126" s="129">
        <v>44044</v>
      </c>
      <c r="O126" s="129">
        <v>44773</v>
      </c>
      <c r="P126" s="129">
        <v>44773</v>
      </c>
      <c r="Q126" s="323">
        <v>20000</v>
      </c>
      <c r="R126" s="319"/>
      <c r="S126" s="324">
        <v>10000</v>
      </c>
      <c r="T126" s="324">
        <v>0</v>
      </c>
      <c r="U126" s="324">
        <v>0</v>
      </c>
      <c r="V126" s="324">
        <v>0</v>
      </c>
      <c r="W126" s="324">
        <v>0</v>
      </c>
      <c r="X126" s="324">
        <v>0</v>
      </c>
      <c r="Y126" s="312">
        <v>10000</v>
      </c>
      <c r="Z126" s="325">
        <v>10000</v>
      </c>
      <c r="AA126" s="325">
        <v>0</v>
      </c>
      <c r="AB126" s="326"/>
      <c r="AC126" s="324">
        <v>10000</v>
      </c>
      <c r="AD126" s="324">
        <v>0</v>
      </c>
      <c r="AE126" s="324">
        <v>0</v>
      </c>
      <c r="AF126" s="324">
        <v>0</v>
      </c>
      <c r="AG126" s="324">
        <v>0</v>
      </c>
      <c r="AH126" s="324">
        <v>0</v>
      </c>
      <c r="AI126" s="312">
        <v>10000</v>
      </c>
      <c r="AJ126" s="327">
        <v>10000</v>
      </c>
      <c r="AK126" s="327">
        <v>0</v>
      </c>
      <c r="AL126" s="328"/>
      <c r="AM126" s="324">
        <v>0</v>
      </c>
      <c r="AN126" s="324">
        <v>0</v>
      </c>
      <c r="AO126" s="324">
        <v>0</v>
      </c>
      <c r="AP126" s="324">
        <v>0</v>
      </c>
      <c r="AQ126" s="324">
        <v>0</v>
      </c>
      <c r="AR126" s="324">
        <v>0</v>
      </c>
      <c r="AS126" s="293">
        <v>0</v>
      </c>
      <c r="AT126" s="327">
        <v>0</v>
      </c>
      <c r="AU126" s="327">
        <v>0</v>
      </c>
      <c r="AV126" s="328"/>
      <c r="AW126" s="279"/>
      <c r="AX126" s="279"/>
      <c r="AY126" s="279"/>
      <c r="AZ126" s="279"/>
      <c r="BA126" s="279"/>
      <c r="BB126" s="279"/>
      <c r="BC126" s="293"/>
      <c r="BD126" s="319"/>
      <c r="BE126" s="293"/>
      <c r="BF126" s="319"/>
      <c r="BG126" s="293"/>
      <c r="BH126" s="293"/>
      <c r="BI126" s="337">
        <v>20000</v>
      </c>
      <c r="BJ126" s="338">
        <v>0</v>
      </c>
      <c r="BK126" s="126"/>
    </row>
    <row r="127" spans="1:64" ht="15.75">
      <c r="A127" s="314">
        <v>501334</v>
      </c>
      <c r="B127" s="125" t="s">
        <v>950</v>
      </c>
      <c r="C127" s="124" t="s">
        <v>951</v>
      </c>
      <c r="D127" s="126">
        <v>207237</v>
      </c>
      <c r="E127" s="121" t="s">
        <v>952</v>
      </c>
      <c r="F127" s="121" t="s">
        <v>953</v>
      </c>
      <c r="G127" s="127" t="s">
        <v>53</v>
      </c>
      <c r="H127" s="123" t="s">
        <v>628</v>
      </c>
      <c r="I127" s="126" t="s">
        <v>598</v>
      </c>
      <c r="J127" s="126" t="s">
        <v>730</v>
      </c>
      <c r="K127" s="128" t="s">
        <v>735</v>
      </c>
      <c r="L127" s="121" t="s">
        <v>515</v>
      </c>
      <c r="M127" s="123" t="s">
        <v>840</v>
      </c>
      <c r="N127" s="129">
        <v>42614</v>
      </c>
      <c r="O127" s="129">
        <v>43708</v>
      </c>
      <c r="P127" s="129">
        <v>44144</v>
      </c>
      <c r="Q127" s="330">
        <v>492375</v>
      </c>
      <c r="R127" s="331"/>
      <c r="S127" s="324">
        <v>118000</v>
      </c>
      <c r="T127" s="324">
        <v>0</v>
      </c>
      <c r="U127" s="324">
        <v>46125</v>
      </c>
      <c r="V127" s="324"/>
      <c r="W127" s="324">
        <v>0</v>
      </c>
      <c r="X127" s="324">
        <v>0</v>
      </c>
      <c r="Y127" s="312">
        <v>164125</v>
      </c>
      <c r="Z127" s="325">
        <v>164125</v>
      </c>
      <c r="AA127" s="325">
        <v>0</v>
      </c>
      <c r="AB127" s="326"/>
      <c r="AC127" s="324">
        <v>118000</v>
      </c>
      <c r="AD127" s="324">
        <v>0</v>
      </c>
      <c r="AE127" s="324">
        <v>46125</v>
      </c>
      <c r="AF127" s="324">
        <v>0</v>
      </c>
      <c r="AG127" s="324">
        <v>0</v>
      </c>
      <c r="AH127" s="324"/>
      <c r="AI127" s="312">
        <v>164125</v>
      </c>
      <c r="AJ127" s="327">
        <v>164125</v>
      </c>
      <c r="AK127" s="327">
        <v>0</v>
      </c>
      <c r="AL127" s="328"/>
      <c r="AM127" s="279">
        <v>118000</v>
      </c>
      <c r="AN127" s="279">
        <v>0</v>
      </c>
      <c r="AO127" s="279">
        <v>46125</v>
      </c>
      <c r="AP127" s="279"/>
      <c r="AQ127" s="279">
        <v>0</v>
      </c>
      <c r="AR127" s="279">
        <v>0</v>
      </c>
      <c r="AS127" s="293">
        <v>164125</v>
      </c>
      <c r="AT127" s="327">
        <v>164125</v>
      </c>
      <c r="AU127" s="327">
        <v>0</v>
      </c>
      <c r="AV127" s="328"/>
      <c r="AW127" s="279"/>
      <c r="AX127" s="279"/>
      <c r="AY127" s="279"/>
      <c r="AZ127" s="279"/>
      <c r="BA127" s="279"/>
      <c r="BB127" s="279"/>
      <c r="BC127" s="293"/>
      <c r="BD127" s="319"/>
      <c r="BE127" s="293"/>
      <c r="BF127" s="319"/>
      <c r="BG127" s="293"/>
      <c r="BH127" s="293"/>
      <c r="BI127" s="337">
        <v>492375</v>
      </c>
      <c r="BJ127" s="338">
        <v>0</v>
      </c>
      <c r="BK127" s="280"/>
    </row>
    <row r="128" spans="1:64" ht="15.75">
      <c r="A128" s="314">
        <v>506754</v>
      </c>
      <c r="B128" s="125" t="s">
        <v>954</v>
      </c>
      <c r="C128" s="124" t="s">
        <v>955</v>
      </c>
      <c r="D128" s="123">
        <v>207378</v>
      </c>
      <c r="E128" s="123" t="s">
        <v>956</v>
      </c>
      <c r="F128" s="121" t="s">
        <v>957</v>
      </c>
      <c r="G128" s="127" t="s">
        <v>46</v>
      </c>
      <c r="H128" s="126" t="s">
        <v>597</v>
      </c>
      <c r="I128" s="126" t="s">
        <v>609</v>
      </c>
      <c r="J128" s="126" t="s">
        <v>958</v>
      </c>
      <c r="K128" s="128" t="s">
        <v>959</v>
      </c>
      <c r="L128" s="121" t="s">
        <v>19</v>
      </c>
      <c r="M128" s="123" t="s">
        <v>790</v>
      </c>
      <c r="N128" s="129">
        <v>43556</v>
      </c>
      <c r="O128" s="129">
        <v>43921</v>
      </c>
      <c r="P128" s="129">
        <v>43921</v>
      </c>
      <c r="Q128" s="330">
        <v>37500</v>
      </c>
      <c r="R128" s="331"/>
      <c r="S128" s="324">
        <v>37500</v>
      </c>
      <c r="T128" s="324">
        <v>0</v>
      </c>
      <c r="U128" s="324">
        <v>0</v>
      </c>
      <c r="V128" s="324">
        <v>0</v>
      </c>
      <c r="W128" s="324">
        <v>0</v>
      </c>
      <c r="X128" s="324">
        <v>0</v>
      </c>
      <c r="Y128" s="312">
        <v>37500</v>
      </c>
      <c r="Z128" s="325">
        <v>37500</v>
      </c>
      <c r="AA128" s="325">
        <v>0</v>
      </c>
      <c r="AB128" s="326"/>
      <c r="AC128" s="324" t="s">
        <v>602</v>
      </c>
      <c r="AD128" s="324" t="s">
        <v>602</v>
      </c>
      <c r="AE128" s="324" t="s">
        <v>602</v>
      </c>
      <c r="AF128" s="324" t="s">
        <v>602</v>
      </c>
      <c r="AG128" s="324" t="s">
        <v>602</v>
      </c>
      <c r="AH128" s="283"/>
      <c r="AI128" s="312"/>
      <c r="AJ128" s="327">
        <v>0</v>
      </c>
      <c r="AK128" s="327">
        <v>0</v>
      </c>
      <c r="AL128" s="339"/>
      <c r="AM128" s="324" t="s">
        <v>602</v>
      </c>
      <c r="AN128" s="324" t="s">
        <v>602</v>
      </c>
      <c r="AO128" s="324" t="s">
        <v>602</v>
      </c>
      <c r="AP128" s="324" t="s">
        <v>602</v>
      </c>
      <c r="AQ128" s="324" t="s">
        <v>602</v>
      </c>
      <c r="AR128" s="153"/>
      <c r="AS128" s="293"/>
      <c r="AT128" s="327">
        <v>0</v>
      </c>
      <c r="AU128" s="327">
        <v>0</v>
      </c>
      <c r="AV128" s="121"/>
      <c r="AW128" s="153"/>
      <c r="AX128" s="153"/>
      <c r="AY128" s="153"/>
      <c r="AZ128" s="153"/>
      <c r="BA128" s="153"/>
      <c r="BB128" s="153"/>
      <c r="BC128" s="154"/>
      <c r="BD128" s="99"/>
      <c r="BE128" s="154"/>
      <c r="BF128" s="99"/>
      <c r="BG128" s="154"/>
      <c r="BH128" s="154"/>
      <c r="BI128" s="337">
        <v>37500</v>
      </c>
      <c r="BJ128" s="338">
        <v>0</v>
      </c>
      <c r="BK128" s="282"/>
    </row>
    <row r="129" spans="1:63" ht="15.75">
      <c r="A129" s="314">
        <v>501333</v>
      </c>
      <c r="B129" s="125" t="s">
        <v>960</v>
      </c>
      <c r="C129" s="124" t="s">
        <v>99</v>
      </c>
      <c r="D129" s="126">
        <v>207444</v>
      </c>
      <c r="E129" s="121" t="s">
        <v>961</v>
      </c>
      <c r="F129" s="121" t="s">
        <v>962</v>
      </c>
      <c r="G129" s="127" t="s">
        <v>46</v>
      </c>
      <c r="H129" s="123" t="s">
        <v>628</v>
      </c>
      <c r="I129" s="123" t="s">
        <v>703</v>
      </c>
      <c r="J129" s="126" t="s">
        <v>963</v>
      </c>
      <c r="K129" s="128" t="s">
        <v>964</v>
      </c>
      <c r="L129" s="121" t="s">
        <v>515</v>
      </c>
      <c r="M129" s="143" t="s">
        <v>797</v>
      </c>
      <c r="N129" s="129">
        <v>42614</v>
      </c>
      <c r="O129" s="129">
        <v>43830</v>
      </c>
      <c r="P129" s="129">
        <v>44144</v>
      </c>
      <c r="Q129" s="330">
        <v>179830.16</v>
      </c>
      <c r="R129" s="331"/>
      <c r="S129" s="324">
        <v>60000</v>
      </c>
      <c r="T129" s="324">
        <v>0</v>
      </c>
      <c r="U129" s="324">
        <v>0</v>
      </c>
      <c r="V129" s="324"/>
      <c r="W129" s="324">
        <v>0</v>
      </c>
      <c r="X129" s="324">
        <v>0</v>
      </c>
      <c r="Y129" s="312">
        <v>60000</v>
      </c>
      <c r="Z129" s="325">
        <v>60000</v>
      </c>
      <c r="AA129" s="325">
        <v>0</v>
      </c>
      <c r="AB129" s="326"/>
      <c r="AC129" s="324">
        <v>60000</v>
      </c>
      <c r="AD129" s="324">
        <v>0</v>
      </c>
      <c r="AE129" s="324">
        <v>0</v>
      </c>
      <c r="AF129" s="324">
        <v>0</v>
      </c>
      <c r="AG129" s="324">
        <v>0</v>
      </c>
      <c r="AH129" s="324"/>
      <c r="AI129" s="312">
        <v>60000</v>
      </c>
      <c r="AJ129" s="327">
        <v>60000</v>
      </c>
      <c r="AK129" s="327">
        <v>0</v>
      </c>
      <c r="AL129" s="328"/>
      <c r="AM129" s="279">
        <v>59830.16</v>
      </c>
      <c r="AN129" s="324">
        <v>0</v>
      </c>
      <c r="AO129" s="324">
        <v>0</v>
      </c>
      <c r="AP129" s="324">
        <v>0</v>
      </c>
      <c r="AQ129" s="324">
        <v>0</v>
      </c>
      <c r="AR129" s="324">
        <v>0</v>
      </c>
      <c r="AS129" s="293">
        <v>59830.16</v>
      </c>
      <c r="AT129" s="327">
        <v>59830.16</v>
      </c>
      <c r="AU129" s="327">
        <v>0</v>
      </c>
      <c r="AV129" s="328"/>
      <c r="AW129" s="279"/>
      <c r="AX129" s="279"/>
      <c r="AY129" s="279"/>
      <c r="AZ129" s="279"/>
      <c r="BA129" s="279"/>
      <c r="BB129" s="279"/>
      <c r="BC129" s="293"/>
      <c r="BD129" s="319"/>
      <c r="BE129" s="293"/>
      <c r="BF129" s="319"/>
      <c r="BG129" s="293"/>
      <c r="BH129" s="293"/>
      <c r="BI129" s="337">
        <v>179830.16</v>
      </c>
      <c r="BJ129" s="338">
        <v>0</v>
      </c>
      <c r="BK129" s="280"/>
    </row>
    <row r="130" spans="1:63" ht="15.75">
      <c r="A130" s="314">
        <v>507638</v>
      </c>
      <c r="B130" s="125" t="s">
        <v>960</v>
      </c>
      <c r="C130" s="124" t="s">
        <v>99</v>
      </c>
      <c r="D130" s="126">
        <v>207444</v>
      </c>
      <c r="E130" s="124" t="s">
        <v>961</v>
      </c>
      <c r="F130" s="121" t="s">
        <v>962</v>
      </c>
      <c r="G130" s="127" t="s">
        <v>46</v>
      </c>
      <c r="H130" s="126" t="s">
        <v>628</v>
      </c>
      <c r="I130" s="123" t="s">
        <v>703</v>
      </c>
      <c r="J130" s="126" t="s">
        <v>963</v>
      </c>
      <c r="K130" s="128" t="s">
        <v>964</v>
      </c>
      <c r="L130" s="121" t="s">
        <v>519</v>
      </c>
      <c r="M130" s="123" t="s">
        <v>791</v>
      </c>
      <c r="N130" s="129">
        <v>43709</v>
      </c>
      <c r="O130" s="129">
        <v>44895</v>
      </c>
      <c r="P130" s="129">
        <v>44895</v>
      </c>
      <c r="Q130" s="323">
        <v>310000</v>
      </c>
      <c r="R130" s="319"/>
      <c r="S130" s="324">
        <v>100000</v>
      </c>
      <c r="T130" s="324"/>
      <c r="U130" s="324"/>
      <c r="V130" s="324"/>
      <c r="W130" s="324"/>
      <c r="X130" s="324"/>
      <c r="Y130" s="312">
        <v>100000</v>
      </c>
      <c r="Z130" s="325">
        <v>100000</v>
      </c>
      <c r="AA130" s="325">
        <v>0</v>
      </c>
      <c r="AB130" s="326"/>
      <c r="AC130" s="324">
        <v>100000</v>
      </c>
      <c r="AD130" s="324">
        <v>0</v>
      </c>
      <c r="AE130" s="324">
        <v>0</v>
      </c>
      <c r="AF130" s="324">
        <v>0</v>
      </c>
      <c r="AG130" s="324">
        <v>0</v>
      </c>
      <c r="AH130" s="324">
        <v>0</v>
      </c>
      <c r="AI130" s="312">
        <v>100000</v>
      </c>
      <c r="AJ130" s="327">
        <v>100000</v>
      </c>
      <c r="AK130" s="327">
        <v>0</v>
      </c>
      <c r="AL130" s="328"/>
      <c r="AM130" s="324">
        <v>110000</v>
      </c>
      <c r="AN130" s="279">
        <v>0</v>
      </c>
      <c r="AO130" s="279">
        <v>0</v>
      </c>
      <c r="AP130" s="279">
        <v>0</v>
      </c>
      <c r="AQ130" s="279"/>
      <c r="AR130" s="279"/>
      <c r="AS130" s="293">
        <v>110000</v>
      </c>
      <c r="AT130" s="327">
        <v>110000</v>
      </c>
      <c r="AU130" s="327">
        <v>0</v>
      </c>
      <c r="AV130" s="328"/>
      <c r="AW130" s="279"/>
      <c r="AX130" s="279"/>
      <c r="AY130" s="279"/>
      <c r="AZ130" s="279"/>
      <c r="BA130" s="279"/>
      <c r="BB130" s="279"/>
      <c r="BC130" s="293"/>
      <c r="BD130" s="319"/>
      <c r="BE130" s="293"/>
      <c r="BF130" s="319"/>
      <c r="BG130" s="293"/>
      <c r="BH130" s="293"/>
      <c r="BI130" s="337">
        <v>310000</v>
      </c>
      <c r="BJ130" s="338">
        <v>0</v>
      </c>
      <c r="BK130" s="126"/>
    </row>
    <row r="131" spans="1:63" ht="15.75">
      <c r="A131" s="314">
        <v>507778</v>
      </c>
      <c r="B131" s="125" t="s">
        <v>960</v>
      </c>
      <c r="C131" s="124" t="s">
        <v>99</v>
      </c>
      <c r="D131" s="126">
        <v>207444</v>
      </c>
      <c r="E131" s="121" t="s">
        <v>961</v>
      </c>
      <c r="F131" s="121" t="s">
        <v>962</v>
      </c>
      <c r="G131" s="127" t="s">
        <v>46</v>
      </c>
      <c r="H131" s="123" t="s">
        <v>628</v>
      </c>
      <c r="I131" s="123" t="s">
        <v>703</v>
      </c>
      <c r="J131" s="126" t="s">
        <v>963</v>
      </c>
      <c r="K131" s="128" t="s">
        <v>964</v>
      </c>
      <c r="L131" s="121" t="s">
        <v>519</v>
      </c>
      <c r="M131" s="126" t="s">
        <v>965</v>
      </c>
      <c r="N131" s="129">
        <v>43709</v>
      </c>
      <c r="O131" s="129">
        <v>44895</v>
      </c>
      <c r="P131" s="129">
        <v>44895</v>
      </c>
      <c r="Q131" s="323">
        <v>108333</v>
      </c>
      <c r="R131" s="319"/>
      <c r="S131" s="324">
        <v>45000</v>
      </c>
      <c r="T131" s="324">
        <v>5000</v>
      </c>
      <c r="U131" s="324">
        <v>0</v>
      </c>
      <c r="V131" s="324">
        <v>0</v>
      </c>
      <c r="W131" s="324">
        <v>0</v>
      </c>
      <c r="X131" s="324">
        <v>0</v>
      </c>
      <c r="Y131" s="312">
        <v>50000</v>
      </c>
      <c r="Z131" s="325">
        <v>50000</v>
      </c>
      <c r="AA131" s="325">
        <v>0</v>
      </c>
      <c r="AB131" s="326"/>
      <c r="AC131" s="324">
        <v>45000</v>
      </c>
      <c r="AD131" s="324">
        <v>5000</v>
      </c>
      <c r="AE131" s="324">
        <v>0</v>
      </c>
      <c r="AF131" s="324">
        <v>0</v>
      </c>
      <c r="AG131" s="324">
        <v>0</v>
      </c>
      <c r="AH131" s="324">
        <v>0</v>
      </c>
      <c r="AI131" s="312">
        <v>50000</v>
      </c>
      <c r="AJ131" s="327">
        <v>50000</v>
      </c>
      <c r="AK131" s="327">
        <v>0</v>
      </c>
      <c r="AL131" s="328"/>
      <c r="AM131" s="324">
        <v>7500</v>
      </c>
      <c r="AN131" s="324">
        <v>833</v>
      </c>
      <c r="AO131" s="324">
        <v>0</v>
      </c>
      <c r="AP131" s="324">
        <v>0</v>
      </c>
      <c r="AQ131" s="324">
        <v>0</v>
      </c>
      <c r="AR131" s="324">
        <v>0</v>
      </c>
      <c r="AS131" s="293">
        <v>8333</v>
      </c>
      <c r="AT131" s="327">
        <v>8333</v>
      </c>
      <c r="AU131" s="327">
        <v>0</v>
      </c>
      <c r="AV131" s="328"/>
      <c r="AW131" s="279">
        <v>37500</v>
      </c>
      <c r="AX131" s="279">
        <v>4167</v>
      </c>
      <c r="AY131" s="279"/>
      <c r="AZ131" s="279"/>
      <c r="BA131" s="279"/>
      <c r="BB131" s="279"/>
      <c r="BC131" s="293">
        <v>41667</v>
      </c>
      <c r="BD131" s="319"/>
      <c r="BE131" s="293"/>
      <c r="BF131" s="319"/>
      <c r="BG131" s="293"/>
      <c r="BH131" s="293"/>
      <c r="BI131" s="337">
        <v>150000</v>
      </c>
      <c r="BJ131" s="338">
        <v>41667</v>
      </c>
      <c r="BK131" s="280"/>
    </row>
    <row r="132" spans="1:63" ht="15.75">
      <c r="A132" s="314">
        <v>512373</v>
      </c>
      <c r="B132" s="125" t="s">
        <v>960</v>
      </c>
      <c r="C132" s="124" t="s">
        <v>99</v>
      </c>
      <c r="D132" s="126">
        <v>207444</v>
      </c>
      <c r="E132" s="121" t="s">
        <v>961</v>
      </c>
      <c r="F132" s="121" t="s">
        <v>962</v>
      </c>
      <c r="G132" s="127" t="s">
        <v>46</v>
      </c>
      <c r="H132" s="123" t="s">
        <v>628</v>
      </c>
      <c r="I132" s="123" t="s">
        <v>703</v>
      </c>
      <c r="J132" s="126" t="s">
        <v>963</v>
      </c>
      <c r="K132" s="128" t="s">
        <v>964</v>
      </c>
      <c r="L132" s="121" t="s">
        <v>5</v>
      </c>
      <c r="M132" s="143" t="s">
        <v>822</v>
      </c>
      <c r="N132" s="129">
        <v>44287</v>
      </c>
      <c r="O132" s="129">
        <v>44651</v>
      </c>
      <c r="P132" s="129">
        <v>44651</v>
      </c>
      <c r="Q132" s="330">
        <v>30000</v>
      </c>
      <c r="R132" s="331"/>
      <c r="S132" s="324">
        <v>30000</v>
      </c>
      <c r="T132" s="324">
        <v>0</v>
      </c>
      <c r="U132" s="324">
        <v>0</v>
      </c>
      <c r="V132" s="324">
        <v>0</v>
      </c>
      <c r="W132" s="324">
        <v>0</v>
      </c>
      <c r="X132" s="324">
        <v>0</v>
      </c>
      <c r="Y132" s="312">
        <v>30000</v>
      </c>
      <c r="Z132" s="325">
        <v>30000</v>
      </c>
      <c r="AA132" s="325">
        <v>0</v>
      </c>
      <c r="AB132" s="326"/>
      <c r="AC132" s="324">
        <v>30000</v>
      </c>
      <c r="AD132" s="324">
        <v>0</v>
      </c>
      <c r="AE132" s="324">
        <v>0</v>
      </c>
      <c r="AF132" s="324">
        <v>0</v>
      </c>
      <c r="AG132" s="324">
        <v>0</v>
      </c>
      <c r="AH132" s="324">
        <v>0</v>
      </c>
      <c r="AI132" s="312">
        <v>30000</v>
      </c>
      <c r="AJ132" s="327">
        <v>30000</v>
      </c>
      <c r="AK132" s="327">
        <v>0</v>
      </c>
      <c r="AL132" s="328"/>
      <c r="AM132" s="279"/>
      <c r="AN132" s="324"/>
      <c r="AO132" s="324"/>
      <c r="AP132" s="324"/>
      <c r="AQ132" s="324"/>
      <c r="AR132" s="324"/>
      <c r="AS132" s="293"/>
      <c r="AT132" s="327"/>
      <c r="AU132" s="327"/>
      <c r="AV132" s="328"/>
      <c r="AW132" s="279"/>
      <c r="AX132" s="279"/>
      <c r="AY132" s="279"/>
      <c r="AZ132" s="279"/>
      <c r="BA132" s="279"/>
      <c r="BB132" s="279"/>
      <c r="BC132" s="293"/>
      <c r="BD132" s="319"/>
      <c r="BE132" s="293"/>
      <c r="BF132" s="319"/>
      <c r="BG132" s="293"/>
      <c r="BH132" s="293"/>
      <c r="BI132" s="337">
        <v>60000</v>
      </c>
      <c r="BJ132" s="338">
        <v>30000</v>
      </c>
      <c r="BK132" s="280"/>
    </row>
    <row r="133" spans="1:63" ht="15.75">
      <c r="A133" s="314">
        <v>502577</v>
      </c>
      <c r="B133" s="125" t="s">
        <v>966</v>
      </c>
      <c r="C133" s="124" t="s">
        <v>967</v>
      </c>
      <c r="D133" s="126">
        <v>207584</v>
      </c>
      <c r="E133" s="148" t="s">
        <v>968</v>
      </c>
      <c r="F133" s="148" t="s">
        <v>969</v>
      </c>
      <c r="G133" s="127" t="s">
        <v>46</v>
      </c>
      <c r="H133" s="149" t="s">
        <v>628</v>
      </c>
      <c r="I133" s="126" t="s">
        <v>609</v>
      </c>
      <c r="J133" s="126" t="s">
        <v>818</v>
      </c>
      <c r="K133" s="128" t="s">
        <v>866</v>
      </c>
      <c r="L133" s="121" t="s">
        <v>19</v>
      </c>
      <c r="M133" s="123" t="s">
        <v>970</v>
      </c>
      <c r="N133" s="129">
        <v>42826</v>
      </c>
      <c r="O133" s="129">
        <v>43738</v>
      </c>
      <c r="P133" s="129">
        <v>43921</v>
      </c>
      <c r="Q133" s="330">
        <v>110000</v>
      </c>
      <c r="R133" s="331"/>
      <c r="S133" s="324">
        <v>41000</v>
      </c>
      <c r="T133" s="324">
        <v>5000</v>
      </c>
      <c r="U133" s="324">
        <v>3000</v>
      </c>
      <c r="V133" s="324">
        <v>0</v>
      </c>
      <c r="W133" s="324">
        <v>1000</v>
      </c>
      <c r="X133" s="324">
        <v>0</v>
      </c>
      <c r="Y133" s="312">
        <v>50000</v>
      </c>
      <c r="Z133" s="325">
        <v>50000</v>
      </c>
      <c r="AA133" s="325">
        <v>0</v>
      </c>
      <c r="AB133" s="326"/>
      <c r="AC133" s="324">
        <v>41000</v>
      </c>
      <c r="AD133" s="324">
        <v>15000</v>
      </c>
      <c r="AE133" s="324">
        <v>3000</v>
      </c>
      <c r="AF133" s="324"/>
      <c r="AG133" s="324">
        <v>1000</v>
      </c>
      <c r="AH133" s="324"/>
      <c r="AI133" s="312">
        <v>60000</v>
      </c>
      <c r="AJ133" s="327">
        <v>60000</v>
      </c>
      <c r="AK133" s="327">
        <v>0</v>
      </c>
      <c r="AL133" s="339"/>
      <c r="AM133" s="324">
        <v>0</v>
      </c>
      <c r="AN133" s="324">
        <v>0</v>
      </c>
      <c r="AO133" s="324">
        <v>0</v>
      </c>
      <c r="AP133" s="324">
        <v>0</v>
      </c>
      <c r="AQ133" s="324">
        <v>0</v>
      </c>
      <c r="AR133" s="324">
        <v>0</v>
      </c>
      <c r="AS133" s="293">
        <v>0</v>
      </c>
      <c r="AT133" s="327">
        <v>0</v>
      </c>
      <c r="AU133" s="327">
        <v>0</v>
      </c>
      <c r="AV133" s="328"/>
      <c r="AW133" s="279"/>
      <c r="AX133" s="279"/>
      <c r="AY133" s="279"/>
      <c r="AZ133" s="279"/>
      <c r="BA133" s="279"/>
      <c r="BB133" s="279"/>
      <c r="BC133" s="293"/>
      <c r="BD133" s="319"/>
      <c r="BE133" s="293"/>
      <c r="BF133" s="319"/>
      <c r="BG133" s="293"/>
      <c r="BH133" s="293"/>
      <c r="BI133" s="337">
        <v>110000</v>
      </c>
      <c r="BJ133" s="338">
        <v>0</v>
      </c>
      <c r="BK133" s="126" t="s">
        <v>971</v>
      </c>
    </row>
    <row r="134" spans="1:63" ht="15.75">
      <c r="A134" s="314">
        <v>501348</v>
      </c>
      <c r="B134" s="125" t="s">
        <v>972</v>
      </c>
      <c r="C134" s="124" t="s">
        <v>973</v>
      </c>
      <c r="D134" s="126">
        <v>207627</v>
      </c>
      <c r="E134" s="121" t="s">
        <v>974</v>
      </c>
      <c r="F134" s="121" t="s">
        <v>975</v>
      </c>
      <c r="G134" s="127" t="s">
        <v>68</v>
      </c>
      <c r="H134" s="123" t="s">
        <v>628</v>
      </c>
      <c r="I134" s="123" t="s">
        <v>703</v>
      </c>
      <c r="J134" s="126" t="s">
        <v>976</v>
      </c>
      <c r="K134" s="128" t="s">
        <v>977</v>
      </c>
      <c r="L134" s="121" t="s">
        <v>515</v>
      </c>
      <c r="M134" s="143" t="s">
        <v>934</v>
      </c>
      <c r="N134" s="129">
        <v>42614</v>
      </c>
      <c r="O134" s="129">
        <v>44286</v>
      </c>
      <c r="P134" s="129">
        <v>44334</v>
      </c>
      <c r="Q134" s="330">
        <v>50000</v>
      </c>
      <c r="R134" s="331"/>
      <c r="S134" s="324">
        <v>20000</v>
      </c>
      <c r="T134" s="324">
        <v>5000</v>
      </c>
      <c r="U134" s="324">
        <v>0</v>
      </c>
      <c r="V134" s="324"/>
      <c r="W134" s="324">
        <v>0</v>
      </c>
      <c r="X134" s="324">
        <v>0</v>
      </c>
      <c r="Y134" s="312">
        <v>25000</v>
      </c>
      <c r="Z134" s="325">
        <v>25000</v>
      </c>
      <c r="AA134" s="325">
        <v>0</v>
      </c>
      <c r="AB134" s="326"/>
      <c r="AC134" s="324">
        <v>20000</v>
      </c>
      <c r="AD134" s="324">
        <v>5000</v>
      </c>
      <c r="AE134" s="324">
        <v>0</v>
      </c>
      <c r="AF134" s="324">
        <v>0</v>
      </c>
      <c r="AG134" s="324">
        <v>0</v>
      </c>
      <c r="AH134" s="324"/>
      <c r="AI134" s="312">
        <v>25000</v>
      </c>
      <c r="AJ134" s="327">
        <v>25000</v>
      </c>
      <c r="AK134" s="327">
        <v>0</v>
      </c>
      <c r="AL134" s="328"/>
      <c r="AM134" s="324">
        <v>0</v>
      </c>
      <c r="AN134" s="324">
        <v>0</v>
      </c>
      <c r="AO134" s="324">
        <v>0</v>
      </c>
      <c r="AP134" s="324">
        <v>0</v>
      </c>
      <c r="AQ134" s="324">
        <v>0</v>
      </c>
      <c r="AR134" s="324">
        <v>0</v>
      </c>
      <c r="AS134" s="293">
        <v>0</v>
      </c>
      <c r="AT134" s="327">
        <v>0</v>
      </c>
      <c r="AU134" s="327">
        <v>0</v>
      </c>
      <c r="AV134" s="328"/>
      <c r="AW134" s="279"/>
      <c r="AX134" s="279"/>
      <c r="AY134" s="279"/>
      <c r="AZ134" s="279"/>
      <c r="BA134" s="279"/>
      <c r="BB134" s="279"/>
      <c r="BC134" s="293"/>
      <c r="BD134" s="319"/>
      <c r="BE134" s="293"/>
      <c r="BF134" s="319"/>
      <c r="BG134" s="293"/>
      <c r="BH134" s="293"/>
      <c r="BI134" s="337">
        <v>50000</v>
      </c>
      <c r="BJ134" s="338">
        <v>0</v>
      </c>
      <c r="BK134" s="280"/>
    </row>
    <row r="135" spans="1:63" ht="15.75">
      <c r="A135" s="314">
        <v>501347</v>
      </c>
      <c r="B135" s="125" t="s">
        <v>978</v>
      </c>
      <c r="C135" s="124" t="s">
        <v>181</v>
      </c>
      <c r="D135" s="126">
        <v>207636</v>
      </c>
      <c r="E135" s="148" t="s">
        <v>979</v>
      </c>
      <c r="F135" s="148" t="s">
        <v>980</v>
      </c>
      <c r="G135" s="127" t="s">
        <v>46</v>
      </c>
      <c r="H135" s="149" t="s">
        <v>628</v>
      </c>
      <c r="I135" s="126" t="s">
        <v>609</v>
      </c>
      <c r="J135" s="126" t="s">
        <v>610</v>
      </c>
      <c r="K135" s="128" t="s">
        <v>981</v>
      </c>
      <c r="L135" s="121" t="s">
        <v>515</v>
      </c>
      <c r="M135" s="123" t="s">
        <v>768</v>
      </c>
      <c r="N135" s="129">
        <v>42614</v>
      </c>
      <c r="O135" s="129">
        <v>43708</v>
      </c>
      <c r="P135" s="129">
        <v>43921</v>
      </c>
      <c r="Q135" s="330">
        <v>129000</v>
      </c>
      <c r="R135" s="331"/>
      <c r="S135" s="324">
        <v>25000</v>
      </c>
      <c r="T135" s="324">
        <v>0</v>
      </c>
      <c r="U135" s="324">
        <v>8000</v>
      </c>
      <c r="V135" s="324"/>
      <c r="W135" s="324">
        <v>10000</v>
      </c>
      <c r="X135" s="324">
        <v>0</v>
      </c>
      <c r="Y135" s="312">
        <v>43000</v>
      </c>
      <c r="Z135" s="325">
        <v>43000</v>
      </c>
      <c r="AA135" s="325">
        <v>0</v>
      </c>
      <c r="AB135" s="326"/>
      <c r="AC135" s="324">
        <v>25000</v>
      </c>
      <c r="AD135" s="324">
        <v>0</v>
      </c>
      <c r="AE135" s="324">
        <v>8000</v>
      </c>
      <c r="AF135" s="324">
        <v>10000</v>
      </c>
      <c r="AG135" s="324">
        <v>0</v>
      </c>
      <c r="AH135" s="324"/>
      <c r="AI135" s="312">
        <v>43000</v>
      </c>
      <c r="AJ135" s="327">
        <v>43000</v>
      </c>
      <c r="AK135" s="327">
        <v>0</v>
      </c>
      <c r="AL135" s="328"/>
      <c r="AM135" s="279">
        <v>25000</v>
      </c>
      <c r="AN135" s="279">
        <v>0</v>
      </c>
      <c r="AO135" s="279">
        <v>8000</v>
      </c>
      <c r="AP135" s="279"/>
      <c r="AQ135" s="279">
        <v>10000</v>
      </c>
      <c r="AR135" s="279">
        <v>0</v>
      </c>
      <c r="AS135" s="293">
        <v>43000</v>
      </c>
      <c r="AT135" s="327">
        <v>43000</v>
      </c>
      <c r="AU135" s="327">
        <v>0</v>
      </c>
      <c r="AV135" s="328"/>
      <c r="AW135" s="279"/>
      <c r="AX135" s="279"/>
      <c r="AY135" s="279"/>
      <c r="AZ135" s="279"/>
      <c r="BA135" s="279"/>
      <c r="BB135" s="279"/>
      <c r="BC135" s="293"/>
      <c r="BD135" s="319"/>
      <c r="BE135" s="293"/>
      <c r="BF135" s="319"/>
      <c r="BG135" s="293"/>
      <c r="BH135" s="293"/>
      <c r="BI135" s="337">
        <v>129000</v>
      </c>
      <c r="BJ135" s="338">
        <v>0</v>
      </c>
      <c r="BK135" s="280"/>
    </row>
    <row r="136" spans="1:63" ht="15.75">
      <c r="A136" s="314">
        <v>501380</v>
      </c>
      <c r="B136" s="125" t="s">
        <v>978</v>
      </c>
      <c r="C136" s="124" t="s">
        <v>181</v>
      </c>
      <c r="D136" s="126">
        <v>207636</v>
      </c>
      <c r="E136" s="148" t="s">
        <v>979</v>
      </c>
      <c r="F136" s="148" t="s">
        <v>980</v>
      </c>
      <c r="G136" s="127" t="s">
        <v>46</v>
      </c>
      <c r="H136" s="149" t="s">
        <v>628</v>
      </c>
      <c r="I136" s="126" t="s">
        <v>609</v>
      </c>
      <c r="J136" s="126" t="s">
        <v>610</v>
      </c>
      <c r="K136" s="128" t="s">
        <v>611</v>
      </c>
      <c r="L136" s="121" t="s">
        <v>515</v>
      </c>
      <c r="M136" s="143" t="s">
        <v>982</v>
      </c>
      <c r="N136" s="129">
        <v>42614</v>
      </c>
      <c r="O136" s="129">
        <v>44104</v>
      </c>
      <c r="P136" s="129">
        <v>44149</v>
      </c>
      <c r="Q136" s="330">
        <v>415063</v>
      </c>
      <c r="R136" s="331"/>
      <c r="S136" s="324">
        <v>45129</v>
      </c>
      <c r="T136" s="324">
        <v>40229</v>
      </c>
      <c r="U136" s="324">
        <v>36840</v>
      </c>
      <c r="V136" s="324"/>
      <c r="W136" s="324">
        <v>13815</v>
      </c>
      <c r="X136" s="324">
        <v>0</v>
      </c>
      <c r="Y136" s="312">
        <v>136013</v>
      </c>
      <c r="Z136" s="325">
        <v>136013</v>
      </c>
      <c r="AA136" s="325">
        <v>0</v>
      </c>
      <c r="AB136" s="326"/>
      <c r="AC136" s="324">
        <v>49000</v>
      </c>
      <c r="AD136" s="324">
        <v>15000</v>
      </c>
      <c r="AE136" s="324">
        <v>60525</v>
      </c>
      <c r="AF136" s="324">
        <v>15000</v>
      </c>
      <c r="AG136" s="324">
        <v>0</v>
      </c>
      <c r="AH136" s="324"/>
      <c r="AI136" s="312">
        <v>139525</v>
      </c>
      <c r="AJ136" s="327">
        <v>139525</v>
      </c>
      <c r="AK136" s="327">
        <v>0</v>
      </c>
      <c r="AL136" s="328"/>
      <c r="AM136" s="279">
        <v>49000</v>
      </c>
      <c r="AN136" s="279">
        <v>15000</v>
      </c>
      <c r="AO136" s="279">
        <v>60525</v>
      </c>
      <c r="AP136" s="279"/>
      <c r="AQ136" s="279">
        <v>15000</v>
      </c>
      <c r="AR136" s="279">
        <v>0</v>
      </c>
      <c r="AS136" s="293">
        <v>139525</v>
      </c>
      <c r="AT136" s="327">
        <v>139525</v>
      </c>
      <c r="AU136" s="327">
        <v>0</v>
      </c>
      <c r="AV136" s="328"/>
      <c r="AW136" s="279"/>
      <c r="AX136" s="279"/>
      <c r="AY136" s="279"/>
      <c r="AZ136" s="279"/>
      <c r="BA136" s="279"/>
      <c r="BB136" s="279"/>
      <c r="BC136" s="293"/>
      <c r="BD136" s="319"/>
      <c r="BE136" s="293"/>
      <c r="BF136" s="319"/>
      <c r="BG136" s="293"/>
      <c r="BH136" s="293"/>
      <c r="BI136" s="337">
        <v>415063</v>
      </c>
      <c r="BJ136" s="338">
        <v>0</v>
      </c>
      <c r="BK136" s="280"/>
    </row>
    <row r="137" spans="1:63" ht="15.75">
      <c r="A137" s="314">
        <v>507637</v>
      </c>
      <c r="B137" s="125" t="s">
        <v>978</v>
      </c>
      <c r="C137" s="124" t="s">
        <v>181</v>
      </c>
      <c r="D137" s="126">
        <v>207636</v>
      </c>
      <c r="E137" s="124" t="s">
        <v>979</v>
      </c>
      <c r="F137" s="148" t="s">
        <v>980</v>
      </c>
      <c r="G137" s="127" t="s">
        <v>46</v>
      </c>
      <c r="H137" s="126" t="s">
        <v>628</v>
      </c>
      <c r="I137" s="126" t="s">
        <v>609</v>
      </c>
      <c r="J137" s="126" t="s">
        <v>610</v>
      </c>
      <c r="K137" s="128" t="s">
        <v>611</v>
      </c>
      <c r="L137" s="121" t="s">
        <v>519</v>
      </c>
      <c r="M137" s="123" t="s">
        <v>736</v>
      </c>
      <c r="N137" s="129">
        <v>43709</v>
      </c>
      <c r="O137" s="129">
        <v>44895</v>
      </c>
      <c r="P137" s="129">
        <v>44895</v>
      </c>
      <c r="Q137" s="323">
        <v>255000</v>
      </c>
      <c r="R137" s="319"/>
      <c r="S137" s="324">
        <v>50000</v>
      </c>
      <c r="T137" s="324"/>
      <c r="U137" s="324">
        <v>34725.26</v>
      </c>
      <c r="V137" s="324"/>
      <c r="W137" s="324">
        <v>274.73999999999978</v>
      </c>
      <c r="X137" s="324"/>
      <c r="Y137" s="312">
        <v>85000</v>
      </c>
      <c r="Z137" s="325">
        <v>85000.000000000015</v>
      </c>
      <c r="AA137" s="325">
        <v>0</v>
      </c>
      <c r="AB137" s="326"/>
      <c r="AC137" s="324">
        <v>50000</v>
      </c>
      <c r="AD137" s="324"/>
      <c r="AE137" s="324">
        <v>25000</v>
      </c>
      <c r="AF137" s="324"/>
      <c r="AG137" s="324">
        <v>10000</v>
      </c>
      <c r="AH137" s="324"/>
      <c r="AI137" s="312">
        <v>85000</v>
      </c>
      <c r="AJ137" s="327">
        <v>85000</v>
      </c>
      <c r="AK137" s="327">
        <v>0</v>
      </c>
      <c r="AL137" s="328"/>
      <c r="AM137" s="324">
        <v>50000</v>
      </c>
      <c r="AN137" s="324"/>
      <c r="AO137" s="324">
        <v>25000</v>
      </c>
      <c r="AP137" s="324"/>
      <c r="AQ137" s="324">
        <v>10000</v>
      </c>
      <c r="AR137" s="324"/>
      <c r="AS137" s="293">
        <v>85000</v>
      </c>
      <c r="AT137" s="327">
        <v>85000</v>
      </c>
      <c r="AU137" s="327">
        <v>0</v>
      </c>
      <c r="AV137" s="328"/>
      <c r="AW137" s="279"/>
      <c r="AX137" s="279"/>
      <c r="AY137" s="279"/>
      <c r="AZ137" s="279"/>
      <c r="BA137" s="279"/>
      <c r="BB137" s="279"/>
      <c r="BC137" s="293"/>
      <c r="BD137" s="319"/>
      <c r="BE137" s="293"/>
      <c r="BF137" s="319"/>
      <c r="BG137" s="293"/>
      <c r="BH137" s="293"/>
      <c r="BI137" s="337">
        <v>255000</v>
      </c>
      <c r="BJ137" s="338">
        <v>0</v>
      </c>
      <c r="BK137" s="126"/>
    </row>
    <row r="138" spans="1:63" ht="15.75">
      <c r="A138" s="314">
        <v>512729</v>
      </c>
      <c r="B138" s="125" t="s">
        <v>978</v>
      </c>
      <c r="C138" s="124" t="s">
        <v>181</v>
      </c>
      <c r="D138" s="126">
        <v>207636</v>
      </c>
      <c r="E138" s="124" t="s">
        <v>979</v>
      </c>
      <c r="F138" s="148" t="s">
        <v>980</v>
      </c>
      <c r="G138" s="127" t="s">
        <v>46</v>
      </c>
      <c r="H138" s="149" t="s">
        <v>597</v>
      </c>
      <c r="I138" s="126" t="s">
        <v>609</v>
      </c>
      <c r="J138" s="126" t="s">
        <v>610</v>
      </c>
      <c r="K138" s="128" t="s">
        <v>611</v>
      </c>
      <c r="L138" s="121" t="s">
        <v>685</v>
      </c>
      <c r="M138" s="123" t="s">
        <v>686</v>
      </c>
      <c r="N138" s="129">
        <v>44409</v>
      </c>
      <c r="O138" s="129">
        <v>44773</v>
      </c>
      <c r="P138" s="129">
        <v>44773</v>
      </c>
      <c r="Q138" s="323">
        <v>85000</v>
      </c>
      <c r="R138" s="319"/>
      <c r="S138" s="324">
        <v>25000</v>
      </c>
      <c r="T138" s="324"/>
      <c r="U138" s="324">
        <v>51000</v>
      </c>
      <c r="V138" s="324"/>
      <c r="W138" s="324">
        <v>9000</v>
      </c>
      <c r="X138" s="324">
        <v>0</v>
      </c>
      <c r="Y138" s="312">
        <v>85000</v>
      </c>
      <c r="Z138" s="325">
        <v>85000</v>
      </c>
      <c r="AA138" s="325">
        <v>0</v>
      </c>
      <c r="AB138" s="326"/>
      <c r="AC138" s="324"/>
      <c r="AD138" s="324"/>
      <c r="AE138" s="324"/>
      <c r="AF138" s="324"/>
      <c r="AG138" s="324"/>
      <c r="AH138" s="324"/>
      <c r="AI138" s="312"/>
      <c r="AJ138" s="327"/>
      <c r="AK138" s="327"/>
      <c r="AL138" s="328"/>
      <c r="AM138" s="324"/>
      <c r="AN138" s="324"/>
      <c r="AO138" s="324"/>
      <c r="AP138" s="324"/>
      <c r="AQ138" s="324"/>
      <c r="AR138" s="324"/>
      <c r="AS138" s="293"/>
      <c r="AT138" s="327"/>
      <c r="AU138" s="327"/>
      <c r="AV138" s="328"/>
      <c r="AW138" s="279"/>
      <c r="AX138" s="279"/>
      <c r="AY138" s="279"/>
      <c r="AZ138" s="279"/>
      <c r="BA138" s="279"/>
      <c r="BB138" s="279"/>
      <c r="BC138" s="293"/>
      <c r="BD138" s="319"/>
      <c r="BE138" s="293"/>
      <c r="BF138" s="319"/>
      <c r="BG138" s="293"/>
      <c r="BH138" s="293"/>
      <c r="BI138" s="337">
        <v>85000</v>
      </c>
      <c r="BJ138" s="338">
        <v>0</v>
      </c>
      <c r="BK138" s="126"/>
    </row>
    <row r="139" spans="1:63" ht="15.75">
      <c r="A139" s="314">
        <v>512373</v>
      </c>
      <c r="B139" s="125" t="s">
        <v>983</v>
      </c>
      <c r="C139" s="124" t="s">
        <v>101</v>
      </c>
      <c r="D139" s="126">
        <v>207963</v>
      </c>
      <c r="E139" s="121" t="s">
        <v>984</v>
      </c>
      <c r="F139" s="121" t="s">
        <v>985</v>
      </c>
      <c r="G139" s="127" t="s">
        <v>46</v>
      </c>
      <c r="H139" s="123" t="s">
        <v>628</v>
      </c>
      <c r="I139" s="123" t="s">
        <v>703</v>
      </c>
      <c r="J139" s="126" t="s">
        <v>774</v>
      </c>
      <c r="K139" s="128" t="s">
        <v>775</v>
      </c>
      <c r="L139" s="121" t="s">
        <v>5</v>
      </c>
      <c r="M139" s="143" t="s">
        <v>822</v>
      </c>
      <c r="N139" s="129">
        <v>44287</v>
      </c>
      <c r="O139" s="129">
        <v>44651</v>
      </c>
      <c r="P139" s="129">
        <v>44651</v>
      </c>
      <c r="Q139" s="330">
        <v>55000</v>
      </c>
      <c r="R139" s="331"/>
      <c r="S139" s="324">
        <v>55000</v>
      </c>
      <c r="T139" s="324">
        <v>0</v>
      </c>
      <c r="U139" s="324"/>
      <c r="V139" s="324">
        <v>0</v>
      </c>
      <c r="W139" s="324">
        <v>0</v>
      </c>
      <c r="X139" s="324">
        <v>0</v>
      </c>
      <c r="Y139" s="312">
        <v>55000</v>
      </c>
      <c r="Z139" s="325">
        <v>55000</v>
      </c>
      <c r="AA139" s="325">
        <v>0</v>
      </c>
      <c r="AB139" s="326"/>
      <c r="AC139" s="324">
        <v>30000</v>
      </c>
      <c r="AD139" s="324">
        <v>0</v>
      </c>
      <c r="AE139" s="324">
        <v>25000</v>
      </c>
      <c r="AF139" s="324">
        <v>0</v>
      </c>
      <c r="AG139" s="324">
        <v>0</v>
      </c>
      <c r="AH139" s="324">
        <v>0</v>
      </c>
      <c r="AI139" s="312">
        <v>55000</v>
      </c>
      <c r="AJ139" s="327">
        <v>55000</v>
      </c>
      <c r="AK139" s="327">
        <v>0</v>
      </c>
      <c r="AL139" s="328"/>
      <c r="AM139" s="279"/>
      <c r="AN139" s="324"/>
      <c r="AO139" s="324"/>
      <c r="AP139" s="324"/>
      <c r="AQ139" s="324"/>
      <c r="AR139" s="324"/>
      <c r="AS139" s="293"/>
      <c r="AT139" s="327"/>
      <c r="AU139" s="327"/>
      <c r="AV139" s="328"/>
      <c r="AW139" s="279"/>
      <c r="AX139" s="279"/>
      <c r="AY139" s="279"/>
      <c r="AZ139" s="279"/>
      <c r="BA139" s="279"/>
      <c r="BB139" s="279"/>
      <c r="BC139" s="293"/>
      <c r="BD139" s="319"/>
      <c r="BE139" s="293"/>
      <c r="BF139" s="319"/>
      <c r="BG139" s="293"/>
      <c r="BH139" s="293"/>
      <c r="BI139" s="337">
        <v>110000</v>
      </c>
      <c r="BJ139" s="338">
        <v>55000</v>
      </c>
      <c r="BK139" s="280"/>
    </row>
    <row r="140" spans="1:63" ht="15.75">
      <c r="A140" s="314">
        <v>502561</v>
      </c>
      <c r="B140" s="332" t="s">
        <v>986</v>
      </c>
      <c r="C140" s="124" t="s">
        <v>987</v>
      </c>
      <c r="D140" s="126">
        <v>208217</v>
      </c>
      <c r="E140" s="124" t="s">
        <v>988</v>
      </c>
      <c r="F140" s="124" t="s">
        <v>989</v>
      </c>
      <c r="G140" s="127" t="s">
        <v>46</v>
      </c>
      <c r="H140" s="126" t="s">
        <v>597</v>
      </c>
      <c r="I140" s="126" t="s">
        <v>598</v>
      </c>
      <c r="J140" s="126" t="s">
        <v>696</v>
      </c>
      <c r="K140" s="128" t="s">
        <v>697</v>
      </c>
      <c r="L140" s="121" t="s">
        <v>19</v>
      </c>
      <c r="M140" s="123" t="s">
        <v>883</v>
      </c>
      <c r="N140" s="129">
        <v>42826</v>
      </c>
      <c r="O140" s="129">
        <v>43555</v>
      </c>
      <c r="P140" s="129">
        <v>43190</v>
      </c>
      <c r="Q140" s="323">
        <v>122500</v>
      </c>
      <c r="R140" s="319"/>
      <c r="S140" s="324">
        <v>37350</v>
      </c>
      <c r="T140" s="324">
        <v>0</v>
      </c>
      <c r="U140" s="324">
        <v>17000</v>
      </c>
      <c r="V140" s="324">
        <v>0</v>
      </c>
      <c r="W140" s="324">
        <v>6900</v>
      </c>
      <c r="X140" s="324">
        <v>0</v>
      </c>
      <c r="Y140" s="312">
        <v>61250</v>
      </c>
      <c r="Z140" s="325">
        <v>61250</v>
      </c>
      <c r="AA140" s="325">
        <v>0</v>
      </c>
      <c r="AB140" s="326"/>
      <c r="AC140" s="324">
        <v>37350</v>
      </c>
      <c r="AD140" s="324">
        <v>0</v>
      </c>
      <c r="AE140" s="324">
        <v>17000</v>
      </c>
      <c r="AF140" s="324"/>
      <c r="AG140" s="324">
        <v>6900</v>
      </c>
      <c r="AH140" s="324"/>
      <c r="AI140" s="312">
        <v>61250</v>
      </c>
      <c r="AJ140" s="327">
        <v>61250</v>
      </c>
      <c r="AK140" s="327">
        <v>0</v>
      </c>
      <c r="AL140" s="339"/>
      <c r="AM140" s="324" t="s">
        <v>602</v>
      </c>
      <c r="AN140" s="324" t="s">
        <v>602</v>
      </c>
      <c r="AO140" s="324" t="s">
        <v>602</v>
      </c>
      <c r="AP140" s="324" t="s">
        <v>602</v>
      </c>
      <c r="AQ140" s="324" t="s">
        <v>602</v>
      </c>
      <c r="AR140" s="279" t="s">
        <v>602</v>
      </c>
      <c r="AS140" s="293">
        <v>0</v>
      </c>
      <c r="AT140" s="327">
        <v>0</v>
      </c>
      <c r="AU140" s="327">
        <v>0</v>
      </c>
      <c r="AV140" s="328"/>
      <c r="AW140" s="279"/>
      <c r="AX140" s="279"/>
      <c r="AY140" s="279"/>
      <c r="AZ140" s="279"/>
      <c r="BA140" s="279"/>
      <c r="BB140" s="279"/>
      <c r="BC140" s="293"/>
      <c r="BD140" s="319"/>
      <c r="BE140" s="293"/>
      <c r="BF140" s="319"/>
      <c r="BG140" s="293"/>
      <c r="BH140" s="293"/>
      <c r="BI140" s="337">
        <v>122500</v>
      </c>
      <c r="BJ140" s="338">
        <v>0</v>
      </c>
      <c r="BK140" s="126"/>
    </row>
    <row r="141" spans="1:63" ht="15.75">
      <c r="A141" s="314">
        <v>506448</v>
      </c>
      <c r="B141" s="125" t="s">
        <v>986</v>
      </c>
      <c r="C141" s="124" t="s">
        <v>987</v>
      </c>
      <c r="D141" s="126">
        <v>208217</v>
      </c>
      <c r="E141" s="124" t="s">
        <v>988</v>
      </c>
      <c r="F141" s="124" t="s">
        <v>989</v>
      </c>
      <c r="G141" s="127" t="s">
        <v>46</v>
      </c>
      <c r="H141" s="126" t="s">
        <v>597</v>
      </c>
      <c r="I141" s="126" t="s">
        <v>598</v>
      </c>
      <c r="J141" s="126" t="s">
        <v>696</v>
      </c>
      <c r="K141" s="128" t="s">
        <v>697</v>
      </c>
      <c r="L141" s="121" t="s">
        <v>517</v>
      </c>
      <c r="M141" s="123" t="s">
        <v>990</v>
      </c>
      <c r="N141" s="129">
        <v>43556</v>
      </c>
      <c r="O141" s="129">
        <v>44286</v>
      </c>
      <c r="P141" s="129">
        <v>44286</v>
      </c>
      <c r="Q141" s="323">
        <v>100000</v>
      </c>
      <c r="R141" s="319"/>
      <c r="S141" s="324">
        <v>50000</v>
      </c>
      <c r="T141" s="324"/>
      <c r="U141" s="324"/>
      <c r="V141" s="324"/>
      <c r="W141" s="324"/>
      <c r="X141" s="324"/>
      <c r="Y141" s="312">
        <v>50000</v>
      </c>
      <c r="Z141" s="325">
        <v>50000</v>
      </c>
      <c r="AA141" s="325">
        <v>0</v>
      </c>
      <c r="AB141" s="326"/>
      <c r="AC141" s="324">
        <v>50000</v>
      </c>
      <c r="AD141" s="324"/>
      <c r="AE141" s="324"/>
      <c r="AF141" s="324"/>
      <c r="AG141" s="324"/>
      <c r="AH141" s="324"/>
      <c r="AI141" s="312">
        <v>50000</v>
      </c>
      <c r="AJ141" s="327">
        <v>50000</v>
      </c>
      <c r="AK141" s="327">
        <v>0</v>
      </c>
      <c r="AL141" s="328"/>
      <c r="AM141" s="279"/>
      <c r="AN141" s="279"/>
      <c r="AO141" s="279"/>
      <c r="AP141" s="279"/>
      <c r="AQ141" s="279"/>
      <c r="AR141" s="279"/>
      <c r="AS141" s="293"/>
      <c r="AT141" s="327">
        <v>0</v>
      </c>
      <c r="AU141" s="327">
        <v>0</v>
      </c>
      <c r="AV141" s="328"/>
      <c r="AW141" s="279"/>
      <c r="AX141" s="279"/>
      <c r="AY141" s="279"/>
      <c r="AZ141" s="279"/>
      <c r="BA141" s="279"/>
      <c r="BB141" s="279"/>
      <c r="BC141" s="293"/>
      <c r="BD141" s="319"/>
      <c r="BE141" s="293"/>
      <c r="BF141" s="319"/>
      <c r="BG141" s="293"/>
      <c r="BH141" s="293"/>
      <c r="BI141" s="337">
        <v>100000</v>
      </c>
      <c r="BJ141" s="338">
        <v>0</v>
      </c>
      <c r="BK141" s="126"/>
    </row>
    <row r="142" spans="1:63" ht="15.75">
      <c r="A142" s="314">
        <v>501333</v>
      </c>
      <c r="B142" s="125" t="s">
        <v>991</v>
      </c>
      <c r="C142" s="124" t="s">
        <v>992</v>
      </c>
      <c r="D142" s="126">
        <v>208325</v>
      </c>
      <c r="E142" s="148" t="s">
        <v>993</v>
      </c>
      <c r="F142" s="148" t="s">
        <v>608</v>
      </c>
      <c r="G142" s="127" t="s">
        <v>53</v>
      </c>
      <c r="H142" s="149" t="s">
        <v>628</v>
      </c>
      <c r="I142" s="126" t="s">
        <v>598</v>
      </c>
      <c r="J142" s="126" t="s">
        <v>730</v>
      </c>
      <c r="K142" s="128" t="s">
        <v>735</v>
      </c>
      <c r="L142" s="121" t="s">
        <v>515</v>
      </c>
      <c r="M142" s="123" t="s">
        <v>797</v>
      </c>
      <c r="N142" s="129">
        <v>42614</v>
      </c>
      <c r="O142" s="129">
        <v>43830</v>
      </c>
      <c r="P142" s="129">
        <v>44144</v>
      </c>
      <c r="Q142" s="330">
        <v>150000</v>
      </c>
      <c r="R142" s="331"/>
      <c r="S142" s="324">
        <v>50000</v>
      </c>
      <c r="T142" s="324">
        <v>0</v>
      </c>
      <c r="U142" s="324">
        <v>0</v>
      </c>
      <c r="V142" s="324"/>
      <c r="W142" s="324">
        <v>0</v>
      </c>
      <c r="X142" s="324">
        <v>0</v>
      </c>
      <c r="Y142" s="312">
        <v>50000</v>
      </c>
      <c r="Z142" s="325">
        <v>50000</v>
      </c>
      <c r="AA142" s="325">
        <v>0</v>
      </c>
      <c r="AB142" s="326"/>
      <c r="AC142" s="324">
        <v>50000</v>
      </c>
      <c r="AD142" s="324">
        <v>0</v>
      </c>
      <c r="AE142" s="324">
        <v>0</v>
      </c>
      <c r="AF142" s="324">
        <v>0</v>
      </c>
      <c r="AG142" s="324">
        <v>0</v>
      </c>
      <c r="AH142" s="324"/>
      <c r="AI142" s="312">
        <v>50000</v>
      </c>
      <c r="AJ142" s="327">
        <v>50000</v>
      </c>
      <c r="AK142" s="327">
        <v>0</v>
      </c>
      <c r="AL142" s="328"/>
      <c r="AM142" s="279">
        <v>50000</v>
      </c>
      <c r="AN142" s="279">
        <v>0</v>
      </c>
      <c r="AO142" s="279">
        <v>0</v>
      </c>
      <c r="AP142" s="279"/>
      <c r="AQ142" s="279">
        <v>0</v>
      </c>
      <c r="AR142" s="279">
        <v>0</v>
      </c>
      <c r="AS142" s="293">
        <v>50000</v>
      </c>
      <c r="AT142" s="327">
        <v>50000</v>
      </c>
      <c r="AU142" s="327">
        <v>0</v>
      </c>
      <c r="AV142" s="328"/>
      <c r="AW142" s="279"/>
      <c r="AX142" s="279"/>
      <c r="AY142" s="279"/>
      <c r="AZ142" s="279"/>
      <c r="BA142" s="279"/>
      <c r="BB142" s="279"/>
      <c r="BC142" s="293"/>
      <c r="BD142" s="319"/>
      <c r="BE142" s="293"/>
      <c r="BF142" s="319"/>
      <c r="BG142" s="293"/>
      <c r="BH142" s="293"/>
      <c r="BI142" s="337">
        <v>150000</v>
      </c>
      <c r="BJ142" s="338">
        <v>0</v>
      </c>
      <c r="BK142" s="280"/>
    </row>
    <row r="143" spans="1:63" ht="15.75">
      <c r="A143" s="314">
        <v>501335</v>
      </c>
      <c r="B143" s="125" t="s">
        <v>991</v>
      </c>
      <c r="C143" s="124" t="s">
        <v>992</v>
      </c>
      <c r="D143" s="126">
        <v>208325</v>
      </c>
      <c r="E143" s="148" t="s">
        <v>993</v>
      </c>
      <c r="F143" s="148" t="s">
        <v>608</v>
      </c>
      <c r="G143" s="127" t="s">
        <v>53</v>
      </c>
      <c r="H143" s="149" t="s">
        <v>628</v>
      </c>
      <c r="I143" s="126" t="s">
        <v>598</v>
      </c>
      <c r="J143" s="126" t="s">
        <v>730</v>
      </c>
      <c r="K143" s="128" t="s">
        <v>735</v>
      </c>
      <c r="L143" s="121" t="s">
        <v>515</v>
      </c>
      <c r="M143" s="123" t="s">
        <v>994</v>
      </c>
      <c r="N143" s="129">
        <v>42614</v>
      </c>
      <c r="O143" s="129">
        <v>43708</v>
      </c>
      <c r="P143" s="129">
        <v>43798</v>
      </c>
      <c r="Q143" s="330">
        <v>43125</v>
      </c>
      <c r="R143" s="331"/>
      <c r="S143" s="324">
        <v>14375</v>
      </c>
      <c r="T143" s="324">
        <v>0</v>
      </c>
      <c r="U143" s="324">
        <v>0</v>
      </c>
      <c r="V143" s="324"/>
      <c r="W143" s="324">
        <v>0</v>
      </c>
      <c r="X143" s="324">
        <v>0</v>
      </c>
      <c r="Y143" s="312">
        <v>14375</v>
      </c>
      <c r="Z143" s="325">
        <v>14375</v>
      </c>
      <c r="AA143" s="325">
        <v>0</v>
      </c>
      <c r="AB143" s="326"/>
      <c r="AC143" s="324">
        <v>14375</v>
      </c>
      <c r="AD143" s="324">
        <v>0</v>
      </c>
      <c r="AE143" s="324">
        <v>0</v>
      </c>
      <c r="AF143" s="324">
        <v>0</v>
      </c>
      <c r="AG143" s="324">
        <v>0</v>
      </c>
      <c r="AH143" s="324"/>
      <c r="AI143" s="312">
        <v>14375</v>
      </c>
      <c r="AJ143" s="327">
        <v>14375</v>
      </c>
      <c r="AK143" s="327">
        <v>0</v>
      </c>
      <c r="AL143" s="328"/>
      <c r="AM143" s="279">
        <v>14375</v>
      </c>
      <c r="AN143" s="279">
        <v>0</v>
      </c>
      <c r="AO143" s="279">
        <v>0</v>
      </c>
      <c r="AP143" s="279"/>
      <c r="AQ143" s="279">
        <v>0</v>
      </c>
      <c r="AR143" s="279">
        <v>0</v>
      </c>
      <c r="AS143" s="293">
        <v>14375</v>
      </c>
      <c r="AT143" s="327">
        <v>14375</v>
      </c>
      <c r="AU143" s="327">
        <v>0</v>
      </c>
      <c r="AV143" s="328"/>
      <c r="AW143" s="279"/>
      <c r="AX143" s="279"/>
      <c r="AY143" s="279"/>
      <c r="AZ143" s="279"/>
      <c r="BA143" s="279"/>
      <c r="BB143" s="279"/>
      <c r="BC143" s="293"/>
      <c r="BD143" s="319"/>
      <c r="BE143" s="293"/>
      <c r="BF143" s="319"/>
      <c r="BG143" s="293"/>
      <c r="BH143" s="293"/>
      <c r="BI143" s="337">
        <v>43125</v>
      </c>
      <c r="BJ143" s="338">
        <v>0</v>
      </c>
      <c r="BK143" s="280"/>
    </row>
    <row r="144" spans="1:63" ht="15.75">
      <c r="A144" s="314">
        <v>502069</v>
      </c>
      <c r="B144" s="125" t="s">
        <v>995</v>
      </c>
      <c r="C144" s="124" t="s">
        <v>996</v>
      </c>
      <c r="D144" s="126">
        <v>208342</v>
      </c>
      <c r="E144" s="121" t="s">
        <v>997</v>
      </c>
      <c r="F144" s="121" t="s">
        <v>998</v>
      </c>
      <c r="G144" s="127" t="s">
        <v>68</v>
      </c>
      <c r="H144" s="123" t="s">
        <v>628</v>
      </c>
      <c r="I144" s="126" t="s">
        <v>598</v>
      </c>
      <c r="J144" s="126" t="s">
        <v>888</v>
      </c>
      <c r="K144" s="128" t="s">
        <v>731</v>
      </c>
      <c r="L144" s="124" t="s">
        <v>521</v>
      </c>
      <c r="M144" s="123" t="s">
        <v>927</v>
      </c>
      <c r="N144" s="129">
        <v>42767</v>
      </c>
      <c r="O144" s="129">
        <v>43465</v>
      </c>
      <c r="P144" s="129">
        <v>43100</v>
      </c>
      <c r="Q144" s="330">
        <v>30000</v>
      </c>
      <c r="R144" s="331"/>
      <c r="S144" s="324">
        <v>15000</v>
      </c>
      <c r="T144" s="324">
        <v>0</v>
      </c>
      <c r="U144" s="324">
        <v>0</v>
      </c>
      <c r="V144" s="324">
        <v>0</v>
      </c>
      <c r="W144" s="324">
        <v>0</v>
      </c>
      <c r="X144" s="324">
        <v>0</v>
      </c>
      <c r="Y144" s="312">
        <v>15000</v>
      </c>
      <c r="Z144" s="325">
        <v>15000</v>
      </c>
      <c r="AA144" s="325">
        <v>0</v>
      </c>
      <c r="AB144" s="326"/>
      <c r="AC144" s="324">
        <v>15000</v>
      </c>
      <c r="AD144" s="324">
        <v>0</v>
      </c>
      <c r="AE144" s="324">
        <v>0</v>
      </c>
      <c r="AF144" s="324">
        <v>0</v>
      </c>
      <c r="AG144" s="324">
        <v>0</v>
      </c>
      <c r="AH144" s="324"/>
      <c r="AI144" s="312">
        <v>15000</v>
      </c>
      <c r="AJ144" s="327">
        <v>15000</v>
      </c>
      <c r="AK144" s="327">
        <v>0</v>
      </c>
      <c r="AL144" s="328"/>
      <c r="AM144" s="324">
        <v>0</v>
      </c>
      <c r="AN144" s="324">
        <v>0</v>
      </c>
      <c r="AO144" s="324">
        <v>0</v>
      </c>
      <c r="AP144" s="324">
        <v>0</v>
      </c>
      <c r="AQ144" s="324">
        <v>0</v>
      </c>
      <c r="AR144" s="324">
        <v>0</v>
      </c>
      <c r="AS144" s="293">
        <v>0</v>
      </c>
      <c r="AT144" s="327">
        <v>0</v>
      </c>
      <c r="AU144" s="327">
        <v>0</v>
      </c>
      <c r="AV144" s="328"/>
      <c r="AW144" s="279"/>
      <c r="AX144" s="279"/>
      <c r="AY144" s="279"/>
      <c r="AZ144" s="279"/>
      <c r="BA144" s="279"/>
      <c r="BB144" s="279"/>
      <c r="BC144" s="293"/>
      <c r="BD144" s="319"/>
      <c r="BE144" s="293"/>
      <c r="BF144" s="319"/>
      <c r="BG144" s="293"/>
      <c r="BH144" s="293"/>
      <c r="BI144" s="337">
        <v>30000</v>
      </c>
      <c r="BJ144" s="338">
        <v>0</v>
      </c>
      <c r="BK144" s="126" t="s">
        <v>999</v>
      </c>
    </row>
    <row r="145" spans="1:63" ht="15.75">
      <c r="A145" s="314">
        <v>501337</v>
      </c>
      <c r="B145" s="340" t="s">
        <v>1000</v>
      </c>
      <c r="C145" s="124" t="s">
        <v>92</v>
      </c>
      <c r="D145" s="126">
        <v>208379</v>
      </c>
      <c r="E145" s="124" t="s">
        <v>1001</v>
      </c>
      <c r="F145" s="124" t="s">
        <v>1002</v>
      </c>
      <c r="G145" s="127" t="s">
        <v>46</v>
      </c>
      <c r="H145" s="126" t="s">
        <v>628</v>
      </c>
      <c r="I145" s="126" t="s">
        <v>723</v>
      </c>
      <c r="J145" s="126" t="s">
        <v>874</v>
      </c>
      <c r="K145" s="128" t="s">
        <v>875</v>
      </c>
      <c r="L145" s="121" t="s">
        <v>515</v>
      </c>
      <c r="M145" s="123" t="s">
        <v>1003</v>
      </c>
      <c r="N145" s="129">
        <v>42614</v>
      </c>
      <c r="O145" s="129">
        <v>43708</v>
      </c>
      <c r="P145" s="129">
        <v>44144</v>
      </c>
      <c r="Q145" s="323">
        <v>164881.86000000002</v>
      </c>
      <c r="R145" s="319"/>
      <c r="S145" s="324">
        <v>36000</v>
      </c>
      <c r="T145" s="324">
        <v>0</v>
      </c>
      <c r="U145" s="324">
        <v>19000</v>
      </c>
      <c r="V145" s="324"/>
      <c r="W145" s="324">
        <v>0</v>
      </c>
      <c r="X145" s="324">
        <v>0</v>
      </c>
      <c r="Y145" s="312">
        <v>55000</v>
      </c>
      <c r="Z145" s="325">
        <v>55000</v>
      </c>
      <c r="AA145" s="325">
        <v>0</v>
      </c>
      <c r="AB145" s="326"/>
      <c r="AC145" s="324">
        <v>36000</v>
      </c>
      <c r="AD145" s="324">
        <v>0</v>
      </c>
      <c r="AE145" s="324">
        <v>19000</v>
      </c>
      <c r="AF145" s="324">
        <v>0</v>
      </c>
      <c r="AG145" s="324">
        <v>0</v>
      </c>
      <c r="AH145" s="324"/>
      <c r="AI145" s="312">
        <v>55000</v>
      </c>
      <c r="AJ145" s="327">
        <v>55000</v>
      </c>
      <c r="AK145" s="327">
        <v>0</v>
      </c>
      <c r="AL145" s="328"/>
      <c r="AM145" s="279">
        <v>36000</v>
      </c>
      <c r="AN145" s="279">
        <v>0</v>
      </c>
      <c r="AO145" s="279">
        <v>18881.86</v>
      </c>
      <c r="AP145" s="279"/>
      <c r="AQ145" s="279">
        <v>0</v>
      </c>
      <c r="AR145" s="279">
        <v>0</v>
      </c>
      <c r="AS145" s="293">
        <v>54881.86</v>
      </c>
      <c r="AT145" s="327">
        <v>54881.86</v>
      </c>
      <c r="AU145" s="327">
        <v>0</v>
      </c>
      <c r="AV145" s="328"/>
      <c r="AW145" s="279"/>
      <c r="AX145" s="279"/>
      <c r="AY145" s="279"/>
      <c r="AZ145" s="279"/>
      <c r="BA145" s="279"/>
      <c r="BB145" s="279"/>
      <c r="BC145" s="293"/>
      <c r="BD145" s="319"/>
      <c r="BE145" s="293"/>
      <c r="BF145" s="319"/>
      <c r="BG145" s="293"/>
      <c r="BH145" s="293"/>
      <c r="BI145" s="337">
        <v>164881.85999999999</v>
      </c>
      <c r="BJ145" s="338">
        <v>0</v>
      </c>
      <c r="BK145" s="126"/>
    </row>
    <row r="146" spans="1:63" ht="15.75">
      <c r="A146" s="314">
        <v>501339</v>
      </c>
      <c r="B146" s="125" t="s">
        <v>1000</v>
      </c>
      <c r="C146" s="124" t="s">
        <v>92</v>
      </c>
      <c r="D146" s="126">
        <v>208379</v>
      </c>
      <c r="E146" s="124" t="s">
        <v>1001</v>
      </c>
      <c r="F146" s="124" t="s">
        <v>1002</v>
      </c>
      <c r="G146" s="127" t="s">
        <v>46</v>
      </c>
      <c r="H146" s="126" t="s">
        <v>628</v>
      </c>
      <c r="I146" s="126" t="s">
        <v>723</v>
      </c>
      <c r="J146" s="126" t="s">
        <v>874</v>
      </c>
      <c r="K146" s="128" t="s">
        <v>875</v>
      </c>
      <c r="L146" s="121" t="s">
        <v>515</v>
      </c>
      <c r="M146" s="123" t="s">
        <v>857</v>
      </c>
      <c r="N146" s="129">
        <v>42614</v>
      </c>
      <c r="O146" s="129">
        <v>43951</v>
      </c>
      <c r="P146" s="129">
        <v>44117</v>
      </c>
      <c r="Q146" s="323">
        <v>312157.32999999996</v>
      </c>
      <c r="R146" s="319"/>
      <c r="S146" s="324">
        <v>76000</v>
      </c>
      <c r="T146" s="324">
        <v>8000</v>
      </c>
      <c r="U146" s="324">
        <v>18500</v>
      </c>
      <c r="V146" s="324"/>
      <c r="W146" s="324">
        <v>28000</v>
      </c>
      <c r="X146" s="324">
        <v>0</v>
      </c>
      <c r="Y146" s="312">
        <v>130500</v>
      </c>
      <c r="Z146" s="325">
        <v>130500</v>
      </c>
      <c r="AA146" s="325">
        <v>0</v>
      </c>
      <c r="AB146" s="326"/>
      <c r="AC146" s="324">
        <v>76000</v>
      </c>
      <c r="AD146" s="324">
        <v>0</v>
      </c>
      <c r="AE146" s="324">
        <v>15000</v>
      </c>
      <c r="AF146" s="324">
        <v>0</v>
      </c>
      <c r="AG146" s="324">
        <v>0</v>
      </c>
      <c r="AH146" s="324"/>
      <c r="AI146" s="312">
        <v>91000</v>
      </c>
      <c r="AJ146" s="327">
        <v>91000</v>
      </c>
      <c r="AK146" s="327">
        <v>0</v>
      </c>
      <c r="AL146" s="328"/>
      <c r="AM146" s="279">
        <v>76047.520000000004</v>
      </c>
      <c r="AN146" s="279">
        <v>0</v>
      </c>
      <c r="AO146" s="279">
        <v>14609.810000000001</v>
      </c>
      <c r="AP146" s="279"/>
      <c r="AQ146" s="279">
        <v>0</v>
      </c>
      <c r="AR146" s="279">
        <v>0</v>
      </c>
      <c r="AS146" s="293">
        <v>90657.33</v>
      </c>
      <c r="AT146" s="327">
        <v>90657.33</v>
      </c>
      <c r="AU146" s="327">
        <v>0</v>
      </c>
      <c r="AV146" s="328"/>
      <c r="AW146" s="279"/>
      <c r="AX146" s="279"/>
      <c r="AY146" s="279"/>
      <c r="AZ146" s="279"/>
      <c r="BA146" s="279"/>
      <c r="BB146" s="279"/>
      <c r="BC146" s="293"/>
      <c r="BD146" s="319"/>
      <c r="BE146" s="293"/>
      <c r="BF146" s="319"/>
      <c r="BG146" s="293"/>
      <c r="BH146" s="293"/>
      <c r="BI146" s="337">
        <v>312157.33</v>
      </c>
      <c r="BJ146" s="338">
        <v>0</v>
      </c>
      <c r="BK146" s="126"/>
    </row>
    <row r="147" spans="1:63" ht="15.75">
      <c r="A147" s="314">
        <v>506459</v>
      </c>
      <c r="B147" s="125" t="s">
        <v>1000</v>
      </c>
      <c r="C147" s="124" t="s">
        <v>92</v>
      </c>
      <c r="D147" s="126">
        <v>208379</v>
      </c>
      <c r="E147" s="124" t="s">
        <v>1001</v>
      </c>
      <c r="F147" s="124" t="s">
        <v>1002</v>
      </c>
      <c r="G147" s="127" t="s">
        <v>46</v>
      </c>
      <c r="H147" s="126" t="s">
        <v>628</v>
      </c>
      <c r="I147" s="126" t="s">
        <v>723</v>
      </c>
      <c r="J147" s="126" t="s">
        <v>874</v>
      </c>
      <c r="K147" s="128" t="s">
        <v>875</v>
      </c>
      <c r="L147" s="121" t="s">
        <v>19</v>
      </c>
      <c r="M147" s="123" t="s">
        <v>858</v>
      </c>
      <c r="N147" s="129">
        <v>43556</v>
      </c>
      <c r="O147" s="129">
        <v>44377</v>
      </c>
      <c r="P147" s="129">
        <v>44377</v>
      </c>
      <c r="Q147" s="323">
        <v>67500</v>
      </c>
      <c r="R147" s="319"/>
      <c r="S147" s="324">
        <v>29000</v>
      </c>
      <c r="T147" s="324">
        <v>0</v>
      </c>
      <c r="U147" s="324">
        <v>17500</v>
      </c>
      <c r="V147" s="324">
        <v>0</v>
      </c>
      <c r="W147" s="324">
        <v>0</v>
      </c>
      <c r="X147" s="324">
        <v>0</v>
      </c>
      <c r="Y147" s="312">
        <v>46500</v>
      </c>
      <c r="Z147" s="325">
        <v>46500</v>
      </c>
      <c r="AA147" s="325">
        <v>0</v>
      </c>
      <c r="AB147" s="326"/>
      <c r="AC147" s="324">
        <v>14500</v>
      </c>
      <c r="AD147" s="324">
        <v>0</v>
      </c>
      <c r="AE147" s="324">
        <v>6500</v>
      </c>
      <c r="AF147" s="324">
        <v>0</v>
      </c>
      <c r="AG147" s="324">
        <v>0</v>
      </c>
      <c r="AH147" s="324">
        <v>0</v>
      </c>
      <c r="AI147" s="312">
        <v>21000</v>
      </c>
      <c r="AJ147" s="327">
        <v>21000</v>
      </c>
      <c r="AK147" s="327">
        <v>0</v>
      </c>
      <c r="AL147" s="339"/>
      <c r="AM147" s="324">
        <v>0</v>
      </c>
      <c r="AN147" s="324">
        <v>0</v>
      </c>
      <c r="AO147" s="324">
        <v>0</v>
      </c>
      <c r="AP147" s="324">
        <v>0</v>
      </c>
      <c r="AQ147" s="324">
        <v>0</v>
      </c>
      <c r="AR147" s="324">
        <v>0</v>
      </c>
      <c r="AS147" s="293"/>
      <c r="AT147" s="327">
        <v>0</v>
      </c>
      <c r="AU147" s="327">
        <v>0</v>
      </c>
      <c r="AV147" s="328"/>
      <c r="AW147" s="279"/>
      <c r="AX147" s="279"/>
      <c r="AY147" s="279"/>
      <c r="AZ147" s="279"/>
      <c r="BA147" s="279"/>
      <c r="BB147" s="279"/>
      <c r="BC147" s="293"/>
      <c r="BD147" s="319"/>
      <c r="BE147" s="293"/>
      <c r="BF147" s="319"/>
      <c r="BG147" s="293"/>
      <c r="BH147" s="293"/>
      <c r="BI147" s="337">
        <v>67500</v>
      </c>
      <c r="BJ147" s="338">
        <v>0</v>
      </c>
      <c r="BK147" s="282" t="s">
        <v>821</v>
      </c>
    </row>
    <row r="148" spans="1:63" ht="15.75">
      <c r="A148" s="314">
        <v>507639</v>
      </c>
      <c r="B148" s="125" t="s">
        <v>1000</v>
      </c>
      <c r="C148" s="124" t="s">
        <v>92</v>
      </c>
      <c r="D148" s="126">
        <v>208379</v>
      </c>
      <c r="E148" s="124" t="s">
        <v>1001</v>
      </c>
      <c r="F148" s="124" t="s">
        <v>1002</v>
      </c>
      <c r="G148" s="127" t="s">
        <v>46</v>
      </c>
      <c r="H148" s="126" t="s">
        <v>628</v>
      </c>
      <c r="I148" s="126" t="s">
        <v>723</v>
      </c>
      <c r="J148" s="126" t="s">
        <v>874</v>
      </c>
      <c r="K148" s="128" t="s">
        <v>875</v>
      </c>
      <c r="L148" s="121" t="s">
        <v>519</v>
      </c>
      <c r="M148" s="123" t="s">
        <v>847</v>
      </c>
      <c r="N148" s="129">
        <v>43709</v>
      </c>
      <c r="O148" s="129">
        <v>44895</v>
      </c>
      <c r="P148" s="129">
        <v>44895</v>
      </c>
      <c r="Q148" s="323">
        <v>240000</v>
      </c>
      <c r="R148" s="319"/>
      <c r="S148" s="324">
        <v>51030</v>
      </c>
      <c r="T148" s="324"/>
      <c r="U148" s="324">
        <v>28970</v>
      </c>
      <c r="V148" s="324"/>
      <c r="W148" s="324"/>
      <c r="X148" s="324"/>
      <c r="Y148" s="312">
        <v>80000</v>
      </c>
      <c r="Z148" s="325">
        <v>80000</v>
      </c>
      <c r="AA148" s="325">
        <v>0</v>
      </c>
      <c r="AB148" s="326"/>
      <c r="AC148" s="324">
        <v>51030</v>
      </c>
      <c r="AD148" s="324"/>
      <c r="AE148" s="324">
        <v>28970</v>
      </c>
      <c r="AF148" s="324"/>
      <c r="AG148" s="324"/>
      <c r="AH148" s="324"/>
      <c r="AI148" s="312">
        <v>80000</v>
      </c>
      <c r="AJ148" s="327">
        <v>80000</v>
      </c>
      <c r="AK148" s="327">
        <v>0</v>
      </c>
      <c r="AL148" s="328"/>
      <c r="AM148" s="324">
        <v>51030</v>
      </c>
      <c r="AN148" s="324"/>
      <c r="AO148" s="324">
        <v>28970</v>
      </c>
      <c r="AP148" s="324"/>
      <c r="AQ148" s="324"/>
      <c r="AR148" s="324"/>
      <c r="AS148" s="293">
        <v>80000</v>
      </c>
      <c r="AT148" s="327">
        <v>80000</v>
      </c>
      <c r="AU148" s="327">
        <v>0</v>
      </c>
      <c r="AV148" s="328"/>
      <c r="AW148" s="279"/>
      <c r="AX148" s="279"/>
      <c r="AY148" s="279"/>
      <c r="AZ148" s="279"/>
      <c r="BA148" s="279"/>
      <c r="BB148" s="279"/>
      <c r="BC148" s="293"/>
      <c r="BD148" s="319"/>
      <c r="BE148" s="293"/>
      <c r="BF148" s="319"/>
      <c r="BG148" s="293"/>
      <c r="BH148" s="293"/>
      <c r="BI148" s="337">
        <v>240000</v>
      </c>
      <c r="BJ148" s="338">
        <v>0</v>
      </c>
      <c r="BK148" s="126"/>
    </row>
    <row r="149" spans="1:63" ht="15.75">
      <c r="A149" s="314">
        <v>512338</v>
      </c>
      <c r="B149" s="125" t="s">
        <v>1000</v>
      </c>
      <c r="C149" s="124" t="s">
        <v>92</v>
      </c>
      <c r="D149" s="126">
        <v>208379</v>
      </c>
      <c r="E149" s="124" t="s">
        <v>1001</v>
      </c>
      <c r="F149" s="124" t="s">
        <v>1002</v>
      </c>
      <c r="G149" s="127" t="s">
        <v>46</v>
      </c>
      <c r="H149" s="126" t="s">
        <v>597</v>
      </c>
      <c r="I149" s="126" t="s">
        <v>723</v>
      </c>
      <c r="J149" s="126" t="s">
        <v>874</v>
      </c>
      <c r="K149" s="128" t="s">
        <v>875</v>
      </c>
      <c r="L149" s="121" t="s">
        <v>5</v>
      </c>
      <c r="M149" s="123" t="s">
        <v>1004</v>
      </c>
      <c r="N149" s="129">
        <v>44287</v>
      </c>
      <c r="O149" s="129">
        <v>44651</v>
      </c>
      <c r="P149" s="129">
        <v>44651</v>
      </c>
      <c r="Q149" s="323">
        <v>215500</v>
      </c>
      <c r="R149" s="319"/>
      <c r="S149" s="324">
        <v>122500</v>
      </c>
      <c r="T149" s="324">
        <v>0</v>
      </c>
      <c r="U149" s="324">
        <v>43000</v>
      </c>
      <c r="V149" s="324">
        <v>0</v>
      </c>
      <c r="W149" s="324">
        <v>40000</v>
      </c>
      <c r="X149" s="324">
        <v>10000</v>
      </c>
      <c r="Y149" s="312">
        <v>215500</v>
      </c>
      <c r="Z149" s="325">
        <v>215500</v>
      </c>
      <c r="AA149" s="325">
        <v>0</v>
      </c>
      <c r="AB149" s="326"/>
      <c r="AC149" s="324">
        <v>122500</v>
      </c>
      <c r="AD149" s="324">
        <v>0</v>
      </c>
      <c r="AE149" s="324">
        <v>46000</v>
      </c>
      <c r="AF149" s="324">
        <v>0</v>
      </c>
      <c r="AG149" s="324">
        <v>76000</v>
      </c>
      <c r="AH149" s="324">
        <v>10000</v>
      </c>
      <c r="AI149" s="312">
        <v>254500</v>
      </c>
      <c r="AJ149" s="327">
        <v>254500</v>
      </c>
      <c r="AK149" s="327">
        <v>0</v>
      </c>
      <c r="AL149" s="328">
        <v>0</v>
      </c>
      <c r="AM149" s="328">
        <v>0</v>
      </c>
      <c r="AN149" s="328">
        <v>0</v>
      </c>
      <c r="AO149" s="328">
        <v>0</v>
      </c>
      <c r="AP149" s="328">
        <v>0</v>
      </c>
      <c r="AQ149" s="328">
        <v>0</v>
      </c>
      <c r="AR149" s="328">
        <v>0</v>
      </c>
      <c r="AS149" s="293"/>
      <c r="AT149" s="327"/>
      <c r="AU149" s="327"/>
      <c r="AV149" s="328">
        <v>0</v>
      </c>
      <c r="AW149" s="328">
        <v>0</v>
      </c>
      <c r="AX149" s="328">
        <v>0</v>
      </c>
      <c r="AY149" s="328">
        <v>0</v>
      </c>
      <c r="AZ149" s="328">
        <v>0</v>
      </c>
      <c r="BA149" s="328"/>
      <c r="BB149" s="328">
        <v>0</v>
      </c>
      <c r="BC149" s="293"/>
      <c r="BD149" s="328">
        <v>0</v>
      </c>
      <c r="BE149" s="293"/>
      <c r="BF149" s="328">
        <v>0</v>
      </c>
      <c r="BG149" s="293"/>
      <c r="BH149" s="293"/>
      <c r="BI149" s="337">
        <v>470000</v>
      </c>
      <c r="BJ149" s="338">
        <v>254500</v>
      </c>
      <c r="BK149" s="126"/>
    </row>
    <row r="150" spans="1:63" ht="15.75">
      <c r="A150" s="314">
        <v>506457</v>
      </c>
      <c r="B150" s="125" t="s">
        <v>1005</v>
      </c>
      <c r="C150" s="124" t="s">
        <v>1006</v>
      </c>
      <c r="D150" s="126">
        <v>208406</v>
      </c>
      <c r="E150" s="123" t="s">
        <v>1007</v>
      </c>
      <c r="F150" s="121" t="s">
        <v>1008</v>
      </c>
      <c r="G150" s="127" t="s">
        <v>68</v>
      </c>
      <c r="H150" s="126" t="s">
        <v>597</v>
      </c>
      <c r="I150" s="126" t="s">
        <v>598</v>
      </c>
      <c r="J150" s="126" t="s">
        <v>683</v>
      </c>
      <c r="K150" s="128" t="s">
        <v>684</v>
      </c>
      <c r="L150" s="121" t="s">
        <v>19</v>
      </c>
      <c r="M150" s="126" t="s">
        <v>1009</v>
      </c>
      <c r="N150" s="129">
        <v>43556</v>
      </c>
      <c r="O150" s="129">
        <v>44377</v>
      </c>
      <c r="P150" s="129">
        <v>44377</v>
      </c>
      <c r="Q150" s="330">
        <v>50000</v>
      </c>
      <c r="R150" s="331"/>
      <c r="S150" s="324">
        <v>20000</v>
      </c>
      <c r="T150" s="324">
        <v>0</v>
      </c>
      <c r="U150" s="324">
        <v>5000</v>
      </c>
      <c r="V150" s="324">
        <v>0</v>
      </c>
      <c r="W150" s="324">
        <v>0</v>
      </c>
      <c r="X150" s="324">
        <v>0</v>
      </c>
      <c r="Y150" s="312">
        <v>25000</v>
      </c>
      <c r="Z150" s="325">
        <v>25000</v>
      </c>
      <c r="AA150" s="325">
        <v>0</v>
      </c>
      <c r="AB150" s="326"/>
      <c r="AC150" s="281">
        <v>20000</v>
      </c>
      <c r="AD150" s="281">
        <v>0</v>
      </c>
      <c r="AE150" s="281">
        <v>0</v>
      </c>
      <c r="AF150" s="281">
        <v>0</v>
      </c>
      <c r="AG150" s="281">
        <v>5000</v>
      </c>
      <c r="AH150" s="281">
        <v>0</v>
      </c>
      <c r="AI150" s="312">
        <v>25000</v>
      </c>
      <c r="AJ150" s="327">
        <v>25000</v>
      </c>
      <c r="AK150" s="327">
        <v>0</v>
      </c>
      <c r="AL150" s="339"/>
      <c r="AM150" s="324">
        <v>0</v>
      </c>
      <c r="AN150" s="324">
        <v>0</v>
      </c>
      <c r="AO150" s="324">
        <v>0</v>
      </c>
      <c r="AP150" s="324">
        <v>0</v>
      </c>
      <c r="AQ150" s="324">
        <v>0</v>
      </c>
      <c r="AR150" s="324">
        <v>0</v>
      </c>
      <c r="AS150" s="293"/>
      <c r="AT150" s="327">
        <v>0</v>
      </c>
      <c r="AU150" s="327">
        <v>0</v>
      </c>
      <c r="AV150" s="121"/>
      <c r="AW150" s="153"/>
      <c r="AX150" s="153"/>
      <c r="AY150" s="153"/>
      <c r="AZ150" s="153"/>
      <c r="BA150" s="153"/>
      <c r="BB150" s="153"/>
      <c r="BC150" s="154"/>
      <c r="BD150" s="99"/>
      <c r="BE150" s="154"/>
      <c r="BF150" s="99"/>
      <c r="BG150" s="154"/>
      <c r="BH150" s="154"/>
      <c r="BI150" s="337">
        <v>50000</v>
      </c>
      <c r="BJ150" s="338">
        <v>0</v>
      </c>
      <c r="BK150" s="282" t="s">
        <v>821</v>
      </c>
    </row>
    <row r="151" spans="1:63" ht="15.75">
      <c r="A151" s="314">
        <v>501334</v>
      </c>
      <c r="B151" s="125" t="s">
        <v>1010</v>
      </c>
      <c r="C151" s="124" t="s">
        <v>1011</v>
      </c>
      <c r="D151" s="126">
        <v>208475</v>
      </c>
      <c r="E151" s="121" t="s">
        <v>1012</v>
      </c>
      <c r="F151" s="121" t="s">
        <v>1013</v>
      </c>
      <c r="G151" s="127" t="s">
        <v>53</v>
      </c>
      <c r="H151" s="123" t="s">
        <v>628</v>
      </c>
      <c r="I151" s="126" t="s">
        <v>598</v>
      </c>
      <c r="J151" s="126" t="s">
        <v>730</v>
      </c>
      <c r="K151" s="128" t="s">
        <v>735</v>
      </c>
      <c r="L151" s="121" t="s">
        <v>515</v>
      </c>
      <c r="M151" s="123" t="s">
        <v>840</v>
      </c>
      <c r="N151" s="129">
        <v>42614</v>
      </c>
      <c r="O151" s="129">
        <v>43708</v>
      </c>
      <c r="P151" s="129">
        <v>44144</v>
      </c>
      <c r="Q151" s="330">
        <v>240000</v>
      </c>
      <c r="R151" s="331"/>
      <c r="S151" s="324">
        <v>80000</v>
      </c>
      <c r="T151" s="324">
        <v>0</v>
      </c>
      <c r="U151" s="324">
        <v>0</v>
      </c>
      <c r="V151" s="324"/>
      <c r="W151" s="324">
        <v>0</v>
      </c>
      <c r="X151" s="324">
        <v>0</v>
      </c>
      <c r="Y151" s="312">
        <v>80000</v>
      </c>
      <c r="Z151" s="325">
        <v>80000</v>
      </c>
      <c r="AA151" s="325">
        <v>0</v>
      </c>
      <c r="AB151" s="326"/>
      <c r="AC151" s="324">
        <v>80000</v>
      </c>
      <c r="AD151" s="324">
        <v>0</v>
      </c>
      <c r="AE151" s="324">
        <v>0</v>
      </c>
      <c r="AF151" s="324">
        <v>0</v>
      </c>
      <c r="AG151" s="324">
        <v>0</v>
      </c>
      <c r="AH151" s="324"/>
      <c r="AI151" s="312">
        <v>80000</v>
      </c>
      <c r="AJ151" s="327">
        <v>80000</v>
      </c>
      <c r="AK151" s="327">
        <v>0</v>
      </c>
      <c r="AL151" s="328"/>
      <c r="AM151" s="279">
        <v>80000</v>
      </c>
      <c r="AN151" s="279">
        <v>0</v>
      </c>
      <c r="AO151" s="279">
        <v>0</v>
      </c>
      <c r="AP151" s="279"/>
      <c r="AQ151" s="279">
        <v>0</v>
      </c>
      <c r="AR151" s="279">
        <v>0</v>
      </c>
      <c r="AS151" s="293">
        <v>80000</v>
      </c>
      <c r="AT151" s="327">
        <v>80000</v>
      </c>
      <c r="AU151" s="327">
        <v>0</v>
      </c>
      <c r="AV151" s="328"/>
      <c r="AW151" s="279"/>
      <c r="AX151" s="279"/>
      <c r="AY151" s="279"/>
      <c r="AZ151" s="279"/>
      <c r="BA151" s="279"/>
      <c r="BB151" s="279"/>
      <c r="BC151" s="293"/>
      <c r="BD151" s="319"/>
      <c r="BE151" s="293"/>
      <c r="BF151" s="319"/>
      <c r="BG151" s="293"/>
      <c r="BH151" s="293"/>
      <c r="BI151" s="337">
        <v>240000</v>
      </c>
      <c r="BJ151" s="338">
        <v>0</v>
      </c>
      <c r="BK151" s="280"/>
    </row>
    <row r="152" spans="1:63" ht="15.75">
      <c r="A152" s="314">
        <v>507643</v>
      </c>
      <c r="B152" s="124" t="s">
        <v>1014</v>
      </c>
      <c r="C152" s="124" t="s">
        <v>126</v>
      </c>
      <c r="D152" s="126">
        <v>208489</v>
      </c>
      <c r="E152" s="124" t="s">
        <v>1015</v>
      </c>
      <c r="F152" s="124" t="s">
        <v>1016</v>
      </c>
      <c r="G152" s="127" t="s">
        <v>68</v>
      </c>
      <c r="H152" s="126" t="s">
        <v>628</v>
      </c>
      <c r="I152" s="126" t="s">
        <v>598</v>
      </c>
      <c r="J152" s="126" t="s">
        <v>888</v>
      </c>
      <c r="K152" s="128" t="s">
        <v>731</v>
      </c>
      <c r="L152" s="121" t="s">
        <v>519</v>
      </c>
      <c r="M152" s="123" t="s">
        <v>716</v>
      </c>
      <c r="N152" s="129">
        <v>43709</v>
      </c>
      <c r="O152" s="129">
        <v>44592</v>
      </c>
      <c r="P152" s="129">
        <v>44592</v>
      </c>
      <c r="Q152" s="323">
        <v>159167</v>
      </c>
      <c r="R152" s="319"/>
      <c r="S152" s="324">
        <v>23000</v>
      </c>
      <c r="T152" s="324"/>
      <c r="U152" s="324">
        <v>14000</v>
      </c>
      <c r="V152" s="324"/>
      <c r="W152" s="324">
        <v>15000</v>
      </c>
      <c r="X152" s="324"/>
      <c r="Y152" s="312">
        <v>52000</v>
      </c>
      <c r="Z152" s="325">
        <v>52000</v>
      </c>
      <c r="AA152" s="325">
        <v>0</v>
      </c>
      <c r="AB152" s="326"/>
      <c r="AC152" s="324">
        <v>53000</v>
      </c>
      <c r="AD152" s="324"/>
      <c r="AE152" s="324">
        <v>27000</v>
      </c>
      <c r="AF152" s="324"/>
      <c r="AG152" s="324">
        <v>15000</v>
      </c>
      <c r="AH152" s="324"/>
      <c r="AI152" s="312">
        <v>95000</v>
      </c>
      <c r="AJ152" s="327">
        <v>95000</v>
      </c>
      <c r="AK152" s="327">
        <v>0</v>
      </c>
      <c r="AL152" s="328"/>
      <c r="AM152" s="324">
        <v>7167</v>
      </c>
      <c r="AN152" s="324"/>
      <c r="AO152" s="324">
        <v>2833</v>
      </c>
      <c r="AP152" s="324"/>
      <c r="AQ152" s="324">
        <v>2167</v>
      </c>
      <c r="AR152" s="279"/>
      <c r="AS152" s="293">
        <v>12167</v>
      </c>
      <c r="AT152" s="327">
        <v>12167</v>
      </c>
      <c r="AU152" s="327">
        <v>0</v>
      </c>
      <c r="AV152" s="328"/>
      <c r="AW152" s="279">
        <v>35833</v>
      </c>
      <c r="AX152" s="279"/>
      <c r="AY152" s="279">
        <v>14167</v>
      </c>
      <c r="AZ152" s="279">
        <v>10833</v>
      </c>
      <c r="BA152" s="279"/>
      <c r="BB152" s="279"/>
      <c r="BC152" s="293">
        <v>60833</v>
      </c>
      <c r="BD152" s="319"/>
      <c r="BE152" s="293"/>
      <c r="BF152" s="319"/>
      <c r="BG152" s="293"/>
      <c r="BH152" s="293"/>
      <c r="BI152" s="337">
        <v>220000</v>
      </c>
      <c r="BJ152" s="338">
        <v>60833</v>
      </c>
      <c r="BK152" s="126" t="s">
        <v>1017</v>
      </c>
    </row>
    <row r="153" spans="1:63" ht="15.75">
      <c r="A153" s="314">
        <v>509666</v>
      </c>
      <c r="B153" s="124" t="s">
        <v>1014</v>
      </c>
      <c r="C153" s="124" t="s">
        <v>126</v>
      </c>
      <c r="D153" s="126">
        <v>208489</v>
      </c>
      <c r="E153" s="148" t="s">
        <v>1015</v>
      </c>
      <c r="F153" s="148" t="s">
        <v>1016</v>
      </c>
      <c r="G153" s="127" t="s">
        <v>68</v>
      </c>
      <c r="H153" s="149" t="s">
        <v>628</v>
      </c>
      <c r="I153" s="126" t="s">
        <v>598</v>
      </c>
      <c r="J153" s="126" t="s">
        <v>888</v>
      </c>
      <c r="K153" s="128" t="s">
        <v>731</v>
      </c>
      <c r="L153" s="121" t="s">
        <v>19</v>
      </c>
      <c r="M153" s="123" t="s">
        <v>1018</v>
      </c>
      <c r="N153" s="129">
        <v>44044</v>
      </c>
      <c r="O153" s="129">
        <v>44773</v>
      </c>
      <c r="P153" s="129">
        <v>44773</v>
      </c>
      <c r="Q153" s="323">
        <v>72000</v>
      </c>
      <c r="R153" s="319"/>
      <c r="S153" s="324">
        <v>15000</v>
      </c>
      <c r="T153" s="324">
        <v>0</v>
      </c>
      <c r="U153" s="324">
        <v>13000</v>
      </c>
      <c r="V153" s="324">
        <v>0</v>
      </c>
      <c r="W153" s="324">
        <v>5000</v>
      </c>
      <c r="X153" s="324">
        <v>0</v>
      </c>
      <c r="Y153" s="312">
        <v>33000</v>
      </c>
      <c r="Z153" s="325">
        <v>33000</v>
      </c>
      <c r="AA153" s="325">
        <v>0</v>
      </c>
      <c r="AB153" s="326"/>
      <c r="AC153" s="324">
        <v>18000</v>
      </c>
      <c r="AD153" s="324">
        <v>0</v>
      </c>
      <c r="AE153" s="324">
        <v>15000</v>
      </c>
      <c r="AF153" s="324">
        <v>0</v>
      </c>
      <c r="AG153" s="324">
        <v>5000</v>
      </c>
      <c r="AH153" s="324">
        <v>1000</v>
      </c>
      <c r="AI153" s="312">
        <v>39000</v>
      </c>
      <c r="AJ153" s="327">
        <v>39000</v>
      </c>
      <c r="AK153" s="327">
        <v>0</v>
      </c>
      <c r="AL153" s="328"/>
      <c r="AM153" s="324">
        <v>0</v>
      </c>
      <c r="AN153" s="324">
        <v>0</v>
      </c>
      <c r="AO153" s="324">
        <v>0</v>
      </c>
      <c r="AP153" s="324">
        <v>0</v>
      </c>
      <c r="AQ153" s="324">
        <v>0</v>
      </c>
      <c r="AR153" s="324">
        <v>0</v>
      </c>
      <c r="AS153" s="293">
        <v>0</v>
      </c>
      <c r="AT153" s="327">
        <v>0</v>
      </c>
      <c r="AU153" s="327">
        <v>0</v>
      </c>
      <c r="AV153" s="328"/>
      <c r="AW153" s="279"/>
      <c r="AX153" s="279"/>
      <c r="AY153" s="279"/>
      <c r="AZ153" s="279"/>
      <c r="BA153" s="279"/>
      <c r="BB153" s="279"/>
      <c r="BC153" s="293"/>
      <c r="BD153" s="319"/>
      <c r="BE153" s="293"/>
      <c r="BF153" s="319"/>
      <c r="BG153" s="293"/>
      <c r="BH153" s="293"/>
      <c r="BI153" s="337">
        <v>72000</v>
      </c>
      <c r="BJ153" s="338">
        <v>0</v>
      </c>
      <c r="BK153" s="126"/>
    </row>
    <row r="154" spans="1:63" ht="15.75">
      <c r="A154" s="314">
        <v>502316</v>
      </c>
      <c r="B154" s="125" t="s">
        <v>1019</v>
      </c>
      <c r="C154" s="124" t="s">
        <v>1020</v>
      </c>
      <c r="D154" s="126">
        <v>208491</v>
      </c>
      <c r="E154" s="149" t="s">
        <v>1021</v>
      </c>
      <c r="F154" s="149" t="s">
        <v>1022</v>
      </c>
      <c r="G154" s="127" t="s">
        <v>68</v>
      </c>
      <c r="H154" s="149" t="s">
        <v>597</v>
      </c>
      <c r="I154" s="126" t="s">
        <v>598</v>
      </c>
      <c r="J154" s="126" t="s">
        <v>730</v>
      </c>
      <c r="K154" s="128" t="s">
        <v>735</v>
      </c>
      <c r="L154" s="121" t="s">
        <v>652</v>
      </c>
      <c r="M154" s="123" t="s">
        <v>1023</v>
      </c>
      <c r="N154" s="129">
        <v>42826</v>
      </c>
      <c r="O154" s="129">
        <v>43190</v>
      </c>
      <c r="P154" s="129">
        <v>43190</v>
      </c>
      <c r="Q154" s="330">
        <v>66774</v>
      </c>
      <c r="R154" s="331"/>
      <c r="S154" s="324">
        <v>34611</v>
      </c>
      <c r="T154" s="324">
        <v>22065</v>
      </c>
      <c r="U154" s="324">
        <v>6480</v>
      </c>
      <c r="V154" s="324"/>
      <c r="W154" s="324">
        <v>3698</v>
      </c>
      <c r="X154" s="324"/>
      <c r="Y154" s="312">
        <v>66774</v>
      </c>
      <c r="Z154" s="325">
        <v>66854</v>
      </c>
      <c r="AA154" s="325">
        <v>80</v>
      </c>
      <c r="AB154" s="326"/>
      <c r="AC154" s="324" t="s">
        <v>602</v>
      </c>
      <c r="AD154" s="324" t="s">
        <v>602</v>
      </c>
      <c r="AE154" s="324" t="s">
        <v>602</v>
      </c>
      <c r="AF154" s="324" t="s">
        <v>602</v>
      </c>
      <c r="AG154" s="324" t="s">
        <v>602</v>
      </c>
      <c r="AH154" s="324"/>
      <c r="AI154" s="312">
        <v>0</v>
      </c>
      <c r="AJ154" s="327">
        <v>0</v>
      </c>
      <c r="AK154" s="327">
        <v>0</v>
      </c>
      <c r="AL154" s="328"/>
      <c r="AM154" s="324">
        <v>0</v>
      </c>
      <c r="AN154" s="324">
        <v>0</v>
      </c>
      <c r="AO154" s="324">
        <v>0</v>
      </c>
      <c r="AP154" s="324">
        <v>0</v>
      </c>
      <c r="AQ154" s="324">
        <v>0</v>
      </c>
      <c r="AR154" s="324">
        <v>0</v>
      </c>
      <c r="AS154" s="293">
        <v>0</v>
      </c>
      <c r="AT154" s="327">
        <v>0</v>
      </c>
      <c r="AU154" s="327">
        <v>0</v>
      </c>
      <c r="AV154" s="328"/>
      <c r="AW154" s="279"/>
      <c r="AX154" s="279"/>
      <c r="AY154" s="279"/>
      <c r="AZ154" s="279"/>
      <c r="BA154" s="279"/>
      <c r="BB154" s="279"/>
      <c r="BC154" s="293"/>
      <c r="BD154" s="319"/>
      <c r="BE154" s="293"/>
      <c r="BF154" s="319"/>
      <c r="BG154" s="293"/>
      <c r="BH154" s="293"/>
      <c r="BI154" s="337">
        <v>66774</v>
      </c>
      <c r="BJ154" s="338">
        <v>0</v>
      </c>
      <c r="BK154" s="124" t="s">
        <v>1024</v>
      </c>
    </row>
    <row r="155" spans="1:63" ht="15.75">
      <c r="A155" s="314">
        <v>500740</v>
      </c>
      <c r="B155" s="125" t="s">
        <v>1025</v>
      </c>
      <c r="C155" s="124" t="s">
        <v>281</v>
      </c>
      <c r="D155" s="126">
        <v>208607</v>
      </c>
      <c r="E155" s="148" t="s">
        <v>1026</v>
      </c>
      <c r="F155" s="148" t="s">
        <v>1027</v>
      </c>
      <c r="G155" s="127" t="s">
        <v>53</v>
      </c>
      <c r="H155" s="149" t="s">
        <v>597</v>
      </c>
      <c r="I155" s="126" t="s">
        <v>598</v>
      </c>
      <c r="J155" s="126" t="s">
        <v>645</v>
      </c>
      <c r="K155" s="128" t="s">
        <v>666</v>
      </c>
      <c r="L155" s="121" t="s">
        <v>637</v>
      </c>
      <c r="M155" s="123" t="s">
        <v>638</v>
      </c>
      <c r="N155" s="129">
        <v>42248</v>
      </c>
      <c r="O155" s="129">
        <v>42643</v>
      </c>
      <c r="P155" s="129">
        <v>42643</v>
      </c>
      <c r="Q155" s="330">
        <v>40000</v>
      </c>
      <c r="R155" s="324">
        <v>40000</v>
      </c>
      <c r="S155" s="324"/>
      <c r="T155" s="324">
        <v>0</v>
      </c>
      <c r="U155" s="324">
        <v>0</v>
      </c>
      <c r="V155" s="324"/>
      <c r="W155" s="324">
        <v>0</v>
      </c>
      <c r="X155" s="324">
        <v>0</v>
      </c>
      <c r="Y155" s="312">
        <v>40000</v>
      </c>
      <c r="Z155" s="325">
        <v>40000</v>
      </c>
      <c r="AA155" s="325">
        <v>0</v>
      </c>
      <c r="AB155" s="326"/>
      <c r="AC155" s="324" t="s">
        <v>602</v>
      </c>
      <c r="AD155" s="324" t="s">
        <v>602</v>
      </c>
      <c r="AE155" s="324" t="s">
        <v>602</v>
      </c>
      <c r="AF155" s="324" t="s">
        <v>602</v>
      </c>
      <c r="AG155" s="324" t="s">
        <v>602</v>
      </c>
      <c r="AH155" s="324"/>
      <c r="AI155" s="312">
        <v>0</v>
      </c>
      <c r="AJ155" s="327">
        <v>0</v>
      </c>
      <c r="AK155" s="327">
        <v>0</v>
      </c>
      <c r="AL155" s="328"/>
      <c r="AM155" s="324" t="s">
        <v>602</v>
      </c>
      <c r="AN155" s="324" t="s">
        <v>602</v>
      </c>
      <c r="AO155" s="324" t="s">
        <v>602</v>
      </c>
      <c r="AP155" s="324" t="s">
        <v>602</v>
      </c>
      <c r="AQ155" s="324" t="s">
        <v>602</v>
      </c>
      <c r="AR155" s="279" t="s">
        <v>602</v>
      </c>
      <c r="AS155" s="293">
        <v>0</v>
      </c>
      <c r="AT155" s="327">
        <v>0</v>
      </c>
      <c r="AU155" s="327">
        <v>0</v>
      </c>
      <c r="AV155" s="328"/>
      <c r="AW155" s="324" t="s">
        <v>602</v>
      </c>
      <c r="AX155" s="324" t="s">
        <v>602</v>
      </c>
      <c r="AY155" s="324" t="s">
        <v>602</v>
      </c>
      <c r="AZ155" s="324" t="s">
        <v>602</v>
      </c>
      <c r="BA155" s="324"/>
      <c r="BB155" s="324" t="s">
        <v>602</v>
      </c>
      <c r="BC155" s="293"/>
      <c r="BD155" s="319"/>
      <c r="BE155" s="293"/>
      <c r="BF155" s="319"/>
      <c r="BG155" s="293"/>
      <c r="BH155" s="293"/>
      <c r="BI155" s="337">
        <v>40000</v>
      </c>
      <c r="BJ155" s="338">
        <v>0</v>
      </c>
      <c r="BK155" s="280"/>
    </row>
    <row r="156" spans="1:63" ht="15.75">
      <c r="A156" s="314">
        <v>501344</v>
      </c>
      <c r="B156" s="125" t="s">
        <v>1025</v>
      </c>
      <c r="C156" s="124" t="s">
        <v>281</v>
      </c>
      <c r="D156" s="126">
        <v>208607</v>
      </c>
      <c r="E156" s="148" t="s">
        <v>1026</v>
      </c>
      <c r="F156" s="148" t="s">
        <v>1027</v>
      </c>
      <c r="G156" s="127" t="s">
        <v>53</v>
      </c>
      <c r="H156" s="149" t="s">
        <v>628</v>
      </c>
      <c r="I156" s="126" t="s">
        <v>598</v>
      </c>
      <c r="J156" s="126" t="s">
        <v>645</v>
      </c>
      <c r="K156" s="128" t="s">
        <v>666</v>
      </c>
      <c r="L156" s="121" t="s">
        <v>515</v>
      </c>
      <c r="M156" s="123" t="s">
        <v>667</v>
      </c>
      <c r="N156" s="129">
        <v>42614</v>
      </c>
      <c r="O156" s="129">
        <v>43708</v>
      </c>
      <c r="P156" s="129">
        <v>43708</v>
      </c>
      <c r="Q156" s="330">
        <v>358563</v>
      </c>
      <c r="R156" s="331"/>
      <c r="S156" s="324">
        <v>39400</v>
      </c>
      <c r="T156" s="324">
        <v>0</v>
      </c>
      <c r="U156" s="324">
        <v>16850</v>
      </c>
      <c r="V156" s="324"/>
      <c r="W156" s="324">
        <v>15500</v>
      </c>
      <c r="X156" s="324">
        <v>0</v>
      </c>
      <c r="Y156" s="312">
        <v>71750</v>
      </c>
      <c r="Z156" s="325">
        <v>71750</v>
      </c>
      <c r="AA156" s="325">
        <v>0</v>
      </c>
      <c r="AB156" s="326"/>
      <c r="AC156" s="324">
        <v>79400</v>
      </c>
      <c r="AD156" s="324">
        <v>0</v>
      </c>
      <c r="AE156" s="324">
        <v>33100</v>
      </c>
      <c r="AF156" s="324">
        <v>31000</v>
      </c>
      <c r="AG156" s="324">
        <v>0</v>
      </c>
      <c r="AH156" s="324"/>
      <c r="AI156" s="312">
        <v>143500</v>
      </c>
      <c r="AJ156" s="327">
        <v>143500</v>
      </c>
      <c r="AK156" s="327">
        <v>0</v>
      </c>
      <c r="AL156" s="328"/>
      <c r="AM156" s="279">
        <v>81000</v>
      </c>
      <c r="AN156" s="279">
        <v>0</v>
      </c>
      <c r="AO156" s="279">
        <v>31500</v>
      </c>
      <c r="AP156" s="279"/>
      <c r="AQ156" s="279">
        <v>30813</v>
      </c>
      <c r="AR156" s="279">
        <v>0</v>
      </c>
      <c r="AS156" s="293">
        <v>143313</v>
      </c>
      <c r="AT156" s="327">
        <v>143313</v>
      </c>
      <c r="AU156" s="327">
        <v>0</v>
      </c>
      <c r="AV156" s="328"/>
      <c r="AW156" s="279"/>
      <c r="AX156" s="279"/>
      <c r="AY156" s="279"/>
      <c r="AZ156" s="279"/>
      <c r="BA156" s="279"/>
      <c r="BB156" s="279"/>
      <c r="BC156" s="293"/>
      <c r="BD156" s="319"/>
      <c r="BE156" s="293"/>
      <c r="BF156" s="319"/>
      <c r="BG156" s="293"/>
      <c r="BH156" s="293"/>
      <c r="BI156" s="337">
        <v>358563</v>
      </c>
      <c r="BJ156" s="338">
        <v>0</v>
      </c>
      <c r="BK156" s="280"/>
    </row>
    <row r="157" spans="1:63" ht="15.75">
      <c r="A157" s="314">
        <v>507642</v>
      </c>
      <c r="B157" s="125" t="s">
        <v>1025</v>
      </c>
      <c r="C157" s="124" t="s">
        <v>281</v>
      </c>
      <c r="D157" s="126">
        <v>208607</v>
      </c>
      <c r="E157" s="124" t="s">
        <v>1026</v>
      </c>
      <c r="F157" s="124" t="s">
        <v>1027</v>
      </c>
      <c r="G157" s="127" t="s">
        <v>53</v>
      </c>
      <c r="H157" s="126" t="s">
        <v>597</v>
      </c>
      <c r="I157" s="126" t="s">
        <v>598</v>
      </c>
      <c r="J157" s="126" t="s">
        <v>645</v>
      </c>
      <c r="K157" s="128" t="s">
        <v>666</v>
      </c>
      <c r="L157" s="121" t="s">
        <v>519</v>
      </c>
      <c r="M157" s="123" t="s">
        <v>646</v>
      </c>
      <c r="N157" s="129">
        <v>43709</v>
      </c>
      <c r="O157" s="129">
        <v>44895</v>
      </c>
      <c r="P157" s="129">
        <v>44895</v>
      </c>
      <c r="Q157" s="323">
        <v>205000</v>
      </c>
      <c r="R157" s="319"/>
      <c r="S157" s="324">
        <v>60320</v>
      </c>
      <c r="T157" s="324">
        <v>0</v>
      </c>
      <c r="U157" s="324">
        <v>27300</v>
      </c>
      <c r="V157" s="324">
        <v>2000</v>
      </c>
      <c r="W157" s="324">
        <v>10380</v>
      </c>
      <c r="X157" s="324">
        <v>0</v>
      </c>
      <c r="Y157" s="312">
        <v>100000</v>
      </c>
      <c r="Z157" s="325">
        <v>100000</v>
      </c>
      <c r="AA157" s="325">
        <v>0</v>
      </c>
      <c r="AB157" s="326"/>
      <c r="AC157" s="324">
        <v>50320</v>
      </c>
      <c r="AD157" s="324"/>
      <c r="AE157" s="324">
        <v>27300</v>
      </c>
      <c r="AF157" s="324">
        <v>2000</v>
      </c>
      <c r="AG157" s="324">
        <v>10380</v>
      </c>
      <c r="AH157" s="324">
        <v>0</v>
      </c>
      <c r="AI157" s="312">
        <v>90000</v>
      </c>
      <c r="AJ157" s="327">
        <v>90000</v>
      </c>
      <c r="AK157" s="327">
        <v>0</v>
      </c>
      <c r="AL157" s="328"/>
      <c r="AM157" s="324">
        <v>8387</v>
      </c>
      <c r="AN157" s="324"/>
      <c r="AO157" s="324">
        <v>4550</v>
      </c>
      <c r="AP157" s="324">
        <v>333</v>
      </c>
      <c r="AQ157" s="324">
        <v>1730</v>
      </c>
      <c r="AR157" s="324">
        <v>0</v>
      </c>
      <c r="AS157" s="293">
        <v>15000</v>
      </c>
      <c r="AT157" s="327">
        <v>15000</v>
      </c>
      <c r="AU157" s="327">
        <v>0</v>
      </c>
      <c r="AV157" s="328"/>
      <c r="AW157" s="279">
        <v>41933</v>
      </c>
      <c r="AX157" s="279"/>
      <c r="AY157" s="279">
        <v>22750</v>
      </c>
      <c r="AZ157" s="279">
        <v>8650</v>
      </c>
      <c r="BA157" s="279">
        <v>1667</v>
      </c>
      <c r="BB157" s="279"/>
      <c r="BC157" s="293">
        <v>75000</v>
      </c>
      <c r="BD157" s="319"/>
      <c r="BE157" s="293"/>
      <c r="BF157" s="319"/>
      <c r="BG157" s="293"/>
      <c r="BH157" s="293"/>
      <c r="BI157" s="337">
        <v>280000</v>
      </c>
      <c r="BJ157" s="338">
        <v>75000</v>
      </c>
      <c r="BK157" s="126"/>
    </row>
    <row r="158" spans="1:63" ht="15.75">
      <c r="A158" s="380">
        <v>509588</v>
      </c>
      <c r="B158" s="125" t="s">
        <v>1025</v>
      </c>
      <c r="C158" s="124" t="s">
        <v>281</v>
      </c>
      <c r="D158" s="126">
        <v>208607</v>
      </c>
      <c r="E158" s="183" t="s">
        <v>1026</v>
      </c>
      <c r="F158" s="124" t="s">
        <v>1027</v>
      </c>
      <c r="G158" s="127" t="s">
        <v>53</v>
      </c>
      <c r="H158" s="126" t="s">
        <v>597</v>
      </c>
      <c r="I158" s="126" t="s">
        <v>598</v>
      </c>
      <c r="J158" s="126" t="s">
        <v>645</v>
      </c>
      <c r="K158" s="190" t="s">
        <v>754</v>
      </c>
      <c r="L158" s="121" t="s">
        <v>517</v>
      </c>
      <c r="M158" s="123" t="s">
        <v>1028</v>
      </c>
      <c r="N158" s="129">
        <v>44013</v>
      </c>
      <c r="O158" s="129">
        <v>44298</v>
      </c>
      <c r="P158" s="129">
        <v>44298</v>
      </c>
      <c r="Q158" s="330">
        <v>64975.17</v>
      </c>
      <c r="R158" s="319"/>
      <c r="S158" s="324">
        <v>64975.17</v>
      </c>
      <c r="T158" s="324">
        <v>0</v>
      </c>
      <c r="U158" s="324">
        <v>0</v>
      </c>
      <c r="V158" s="324">
        <v>0</v>
      </c>
      <c r="W158" s="324">
        <v>0</v>
      </c>
      <c r="X158" s="324">
        <v>0</v>
      </c>
      <c r="Y158" s="312">
        <v>64975.17</v>
      </c>
      <c r="Z158" s="325">
        <v>64975.17</v>
      </c>
      <c r="AA158" s="325">
        <v>0</v>
      </c>
      <c r="AB158" s="326"/>
      <c r="AC158" s="324">
        <v>0</v>
      </c>
      <c r="AD158" s="324">
        <v>0</v>
      </c>
      <c r="AE158" s="324">
        <v>0</v>
      </c>
      <c r="AF158" s="324">
        <v>0</v>
      </c>
      <c r="AG158" s="324">
        <v>0</v>
      </c>
      <c r="AH158" s="324">
        <v>0</v>
      </c>
      <c r="AI158" s="312">
        <v>0</v>
      </c>
      <c r="AJ158" s="327">
        <v>0</v>
      </c>
      <c r="AK158" s="327">
        <v>0</v>
      </c>
      <c r="AL158" s="328"/>
      <c r="AM158" s="324">
        <v>0</v>
      </c>
      <c r="AN158" s="324">
        <v>0</v>
      </c>
      <c r="AO158" s="324">
        <v>0</v>
      </c>
      <c r="AP158" s="324">
        <v>0</v>
      </c>
      <c r="AQ158" s="324">
        <v>0</v>
      </c>
      <c r="AR158" s="324">
        <v>0</v>
      </c>
      <c r="AS158" s="293"/>
      <c r="AT158" s="327">
        <v>0</v>
      </c>
      <c r="AU158" s="327">
        <v>0</v>
      </c>
      <c r="AV158" s="328"/>
      <c r="AW158" s="279"/>
      <c r="AX158" s="279"/>
      <c r="AY158" s="279"/>
      <c r="AZ158" s="279"/>
      <c r="BA158" s="279"/>
      <c r="BB158" s="279"/>
      <c r="BC158" s="293"/>
      <c r="BD158" s="319"/>
      <c r="BE158" s="293"/>
      <c r="BF158" s="319"/>
      <c r="BG158" s="293"/>
      <c r="BH158" s="293"/>
      <c r="BI158" s="337">
        <v>64975.17</v>
      </c>
      <c r="BJ158" s="338">
        <v>0</v>
      </c>
      <c r="BK158" s="126" t="s">
        <v>1029</v>
      </c>
    </row>
    <row r="159" spans="1:63" ht="15.75">
      <c r="A159" s="314">
        <v>500671</v>
      </c>
      <c r="B159" s="125" t="s">
        <v>1030</v>
      </c>
      <c r="C159" s="124" t="s">
        <v>332</v>
      </c>
      <c r="D159" s="126">
        <v>208609</v>
      </c>
      <c r="E159" s="124" t="s">
        <v>1031</v>
      </c>
      <c r="F159" s="124" t="s">
        <v>1032</v>
      </c>
      <c r="G159" s="127" t="s">
        <v>82</v>
      </c>
      <c r="H159" s="126" t="s">
        <v>597</v>
      </c>
      <c r="I159" s="126" t="s">
        <v>598</v>
      </c>
      <c r="J159" s="126" t="s">
        <v>1033</v>
      </c>
      <c r="K159" s="128" t="s">
        <v>754</v>
      </c>
      <c r="L159" s="121" t="s">
        <v>637</v>
      </c>
      <c r="M159" s="123" t="s">
        <v>638</v>
      </c>
      <c r="N159" s="129">
        <v>42248</v>
      </c>
      <c r="O159" s="129">
        <v>42643</v>
      </c>
      <c r="P159" s="129">
        <v>42901</v>
      </c>
      <c r="Q159" s="323">
        <v>409985</v>
      </c>
      <c r="R159" s="324">
        <v>409985</v>
      </c>
      <c r="S159" s="324"/>
      <c r="T159" s="324">
        <v>0</v>
      </c>
      <c r="U159" s="324">
        <v>0</v>
      </c>
      <c r="V159" s="324"/>
      <c r="W159" s="324">
        <v>0</v>
      </c>
      <c r="X159" s="324">
        <v>0</v>
      </c>
      <c r="Y159" s="312">
        <v>409985</v>
      </c>
      <c r="Z159" s="325">
        <v>409985</v>
      </c>
      <c r="AA159" s="325">
        <v>0</v>
      </c>
      <c r="AB159" s="326"/>
      <c r="AC159" s="324" t="s">
        <v>602</v>
      </c>
      <c r="AD159" s="324" t="s">
        <v>602</v>
      </c>
      <c r="AE159" s="324" t="s">
        <v>602</v>
      </c>
      <c r="AF159" s="324" t="s">
        <v>602</v>
      </c>
      <c r="AG159" s="324" t="s">
        <v>602</v>
      </c>
      <c r="AH159" s="324"/>
      <c r="AI159" s="312">
        <v>0</v>
      </c>
      <c r="AJ159" s="327">
        <v>0</v>
      </c>
      <c r="AK159" s="327">
        <v>0</v>
      </c>
      <c r="AL159" s="328"/>
      <c r="AM159" s="324">
        <v>0</v>
      </c>
      <c r="AN159" s="324">
        <v>0</v>
      </c>
      <c r="AO159" s="324">
        <v>0</v>
      </c>
      <c r="AP159" s="324">
        <v>0</v>
      </c>
      <c r="AQ159" s="324">
        <v>0</v>
      </c>
      <c r="AR159" s="324">
        <v>0</v>
      </c>
      <c r="AS159" s="293">
        <v>0</v>
      </c>
      <c r="AT159" s="327">
        <v>0</v>
      </c>
      <c r="AU159" s="327">
        <v>0</v>
      </c>
      <c r="AV159" s="328"/>
      <c r="AW159" s="324" t="s">
        <v>602</v>
      </c>
      <c r="AX159" s="324" t="s">
        <v>602</v>
      </c>
      <c r="AY159" s="324" t="s">
        <v>602</v>
      </c>
      <c r="AZ159" s="324" t="s">
        <v>602</v>
      </c>
      <c r="BA159" s="324"/>
      <c r="BB159" s="324" t="s">
        <v>602</v>
      </c>
      <c r="BC159" s="293"/>
      <c r="BD159" s="319"/>
      <c r="BE159" s="293"/>
      <c r="BF159" s="319"/>
      <c r="BG159" s="293"/>
      <c r="BH159" s="293"/>
      <c r="BI159" s="337">
        <v>409985</v>
      </c>
      <c r="BJ159" s="338">
        <v>0</v>
      </c>
      <c r="BK159" s="126"/>
    </row>
    <row r="160" spans="1:63" ht="15.75">
      <c r="A160" s="314">
        <v>500699</v>
      </c>
      <c r="B160" s="125" t="s">
        <v>1030</v>
      </c>
      <c r="C160" s="124" t="s">
        <v>332</v>
      </c>
      <c r="D160" s="126">
        <v>208609</v>
      </c>
      <c r="E160" s="124" t="s">
        <v>1031</v>
      </c>
      <c r="F160" s="124" t="s">
        <v>1032</v>
      </c>
      <c r="G160" s="127" t="s">
        <v>82</v>
      </c>
      <c r="H160" s="126" t="s">
        <v>597</v>
      </c>
      <c r="I160" s="126" t="s">
        <v>598</v>
      </c>
      <c r="J160" s="126" t="s">
        <v>1033</v>
      </c>
      <c r="K160" s="128" t="s">
        <v>754</v>
      </c>
      <c r="L160" s="121" t="s">
        <v>1034</v>
      </c>
      <c r="M160" s="123" t="s">
        <v>661</v>
      </c>
      <c r="N160" s="129">
        <v>42461</v>
      </c>
      <c r="O160" s="129">
        <v>43555</v>
      </c>
      <c r="P160" s="129">
        <v>43555</v>
      </c>
      <c r="Q160" s="323">
        <v>75000</v>
      </c>
      <c r="R160" s="319"/>
      <c r="S160" s="324">
        <v>25000</v>
      </c>
      <c r="T160" s="324">
        <v>0</v>
      </c>
      <c r="U160" s="324">
        <v>0</v>
      </c>
      <c r="V160" s="324"/>
      <c r="W160" s="324">
        <v>0</v>
      </c>
      <c r="X160" s="324">
        <v>0</v>
      </c>
      <c r="Y160" s="312">
        <v>25000</v>
      </c>
      <c r="Z160" s="325">
        <v>25000</v>
      </c>
      <c r="AA160" s="325">
        <v>0</v>
      </c>
      <c r="AB160" s="326"/>
      <c r="AC160" s="324">
        <v>25000</v>
      </c>
      <c r="AD160" s="324">
        <v>0</v>
      </c>
      <c r="AE160" s="324">
        <v>0</v>
      </c>
      <c r="AF160" s="324">
        <v>0</v>
      </c>
      <c r="AG160" s="324">
        <v>0</v>
      </c>
      <c r="AH160" s="324"/>
      <c r="AI160" s="312">
        <v>25000</v>
      </c>
      <c r="AJ160" s="327">
        <v>25000</v>
      </c>
      <c r="AK160" s="327">
        <v>0</v>
      </c>
      <c r="AL160" s="328"/>
      <c r="AM160" s="324">
        <v>25000</v>
      </c>
      <c r="AN160" s="324">
        <v>0</v>
      </c>
      <c r="AO160" s="324">
        <v>0</v>
      </c>
      <c r="AP160" s="324">
        <v>0</v>
      </c>
      <c r="AQ160" s="324">
        <v>0</v>
      </c>
      <c r="AR160" s="279">
        <v>0</v>
      </c>
      <c r="AS160" s="293">
        <v>25000</v>
      </c>
      <c r="AT160" s="327">
        <v>25000</v>
      </c>
      <c r="AU160" s="327">
        <v>0</v>
      </c>
      <c r="AV160" s="328"/>
      <c r="AW160" s="279" t="s">
        <v>602</v>
      </c>
      <c r="AX160" s="279" t="s">
        <v>602</v>
      </c>
      <c r="AY160" s="279" t="s">
        <v>602</v>
      </c>
      <c r="AZ160" s="279" t="s">
        <v>602</v>
      </c>
      <c r="BA160" s="279"/>
      <c r="BB160" s="279" t="s">
        <v>602</v>
      </c>
      <c r="BC160" s="293"/>
      <c r="BD160" s="319"/>
      <c r="BE160" s="293"/>
      <c r="BF160" s="319"/>
      <c r="BG160" s="293"/>
      <c r="BH160" s="293"/>
      <c r="BI160" s="337">
        <v>75000</v>
      </c>
      <c r="BJ160" s="338">
        <v>0</v>
      </c>
      <c r="BK160" s="280" t="s">
        <v>1035</v>
      </c>
    </row>
    <row r="161" spans="1:63" ht="15.75">
      <c r="A161" s="314">
        <v>501341</v>
      </c>
      <c r="B161" s="125" t="s">
        <v>1030</v>
      </c>
      <c r="C161" s="124" t="s">
        <v>332</v>
      </c>
      <c r="D161" s="126">
        <v>208609</v>
      </c>
      <c r="E161" s="124" t="s">
        <v>1031</v>
      </c>
      <c r="F161" s="124" t="s">
        <v>1032</v>
      </c>
      <c r="G161" s="127" t="s">
        <v>82</v>
      </c>
      <c r="H161" s="126" t="s">
        <v>628</v>
      </c>
      <c r="I161" s="126" t="s">
        <v>598</v>
      </c>
      <c r="J161" s="126" t="s">
        <v>1033</v>
      </c>
      <c r="K161" s="128" t="s">
        <v>754</v>
      </c>
      <c r="L161" s="121" t="s">
        <v>515</v>
      </c>
      <c r="M161" s="123" t="s">
        <v>713</v>
      </c>
      <c r="N161" s="129">
        <v>42614</v>
      </c>
      <c r="O161" s="129">
        <v>43708</v>
      </c>
      <c r="P161" s="129">
        <v>44145</v>
      </c>
      <c r="Q161" s="323">
        <v>54000</v>
      </c>
      <c r="R161" s="319"/>
      <c r="S161" s="324">
        <v>0</v>
      </c>
      <c r="T161" s="324">
        <v>0</v>
      </c>
      <c r="U161" s="324">
        <v>18000</v>
      </c>
      <c r="V161" s="324"/>
      <c r="W161" s="324">
        <v>0</v>
      </c>
      <c r="X161" s="324">
        <v>0</v>
      </c>
      <c r="Y161" s="312">
        <v>18000</v>
      </c>
      <c r="Z161" s="325">
        <v>18000</v>
      </c>
      <c r="AA161" s="325">
        <v>0</v>
      </c>
      <c r="AB161" s="326"/>
      <c r="AC161" s="324">
        <v>0</v>
      </c>
      <c r="AD161" s="324">
        <v>0</v>
      </c>
      <c r="AE161" s="324">
        <v>18000</v>
      </c>
      <c r="AF161" s="324">
        <v>0</v>
      </c>
      <c r="AG161" s="324">
        <v>0</v>
      </c>
      <c r="AH161" s="324"/>
      <c r="AI161" s="312">
        <v>18000</v>
      </c>
      <c r="AJ161" s="327">
        <v>18000</v>
      </c>
      <c r="AK161" s="327">
        <v>0</v>
      </c>
      <c r="AL161" s="328"/>
      <c r="AM161" s="279">
        <v>0</v>
      </c>
      <c r="AN161" s="279">
        <v>0</v>
      </c>
      <c r="AO161" s="279">
        <v>18000</v>
      </c>
      <c r="AP161" s="279"/>
      <c r="AQ161" s="279">
        <v>0</v>
      </c>
      <c r="AR161" s="279">
        <v>0</v>
      </c>
      <c r="AS161" s="293">
        <v>18000</v>
      </c>
      <c r="AT161" s="327">
        <v>18000</v>
      </c>
      <c r="AU161" s="327">
        <v>0</v>
      </c>
      <c r="AV161" s="328"/>
      <c r="AW161" s="279"/>
      <c r="AX161" s="279"/>
      <c r="AY161" s="279"/>
      <c r="AZ161" s="279"/>
      <c r="BA161" s="279"/>
      <c r="BB161" s="279"/>
      <c r="BC161" s="293"/>
      <c r="BD161" s="319"/>
      <c r="BE161" s="293"/>
      <c r="BF161" s="319"/>
      <c r="BG161" s="293"/>
      <c r="BH161" s="293"/>
      <c r="BI161" s="337">
        <v>54000</v>
      </c>
      <c r="BJ161" s="338">
        <v>0</v>
      </c>
      <c r="BK161" s="126"/>
    </row>
    <row r="162" spans="1:63" ht="15.75">
      <c r="A162" s="314">
        <v>501342</v>
      </c>
      <c r="B162" s="125" t="s">
        <v>1030</v>
      </c>
      <c r="C162" s="124" t="s">
        <v>332</v>
      </c>
      <c r="D162" s="126">
        <v>208609</v>
      </c>
      <c r="E162" s="124" t="s">
        <v>1031</v>
      </c>
      <c r="F162" s="124" t="s">
        <v>1032</v>
      </c>
      <c r="G162" s="127" t="s">
        <v>82</v>
      </c>
      <c r="H162" s="126" t="s">
        <v>597</v>
      </c>
      <c r="I162" s="126" t="s">
        <v>598</v>
      </c>
      <c r="J162" s="126" t="s">
        <v>1033</v>
      </c>
      <c r="K162" s="128" t="s">
        <v>754</v>
      </c>
      <c r="L162" s="121" t="s">
        <v>515</v>
      </c>
      <c r="M162" s="123" t="s">
        <v>767</v>
      </c>
      <c r="N162" s="129">
        <v>42614</v>
      </c>
      <c r="O162" s="129">
        <v>44286</v>
      </c>
      <c r="P162" s="129">
        <v>44286</v>
      </c>
      <c r="Q162" s="323">
        <v>554475</v>
      </c>
      <c r="R162" s="319"/>
      <c r="S162" s="324">
        <v>104000</v>
      </c>
      <c r="T162" s="324">
        <v>0</v>
      </c>
      <c r="U162" s="324">
        <v>56000</v>
      </c>
      <c r="V162" s="324"/>
      <c r="W162" s="324">
        <v>19475</v>
      </c>
      <c r="X162" s="324">
        <v>5000</v>
      </c>
      <c r="Y162" s="312">
        <v>184475</v>
      </c>
      <c r="Z162" s="325">
        <v>184475</v>
      </c>
      <c r="AA162" s="325">
        <v>0</v>
      </c>
      <c r="AB162" s="326"/>
      <c r="AC162" s="324">
        <v>109000</v>
      </c>
      <c r="AD162" s="324">
        <v>0</v>
      </c>
      <c r="AE162" s="324">
        <v>56000</v>
      </c>
      <c r="AF162" s="324">
        <v>20000</v>
      </c>
      <c r="AG162" s="324">
        <v>0</v>
      </c>
      <c r="AH162" s="324"/>
      <c r="AI162" s="312">
        <v>185000</v>
      </c>
      <c r="AJ162" s="327">
        <v>185000</v>
      </c>
      <c r="AK162" s="327">
        <v>0</v>
      </c>
      <c r="AL162" s="328"/>
      <c r="AM162" s="279">
        <v>104000</v>
      </c>
      <c r="AN162" s="279">
        <v>0</v>
      </c>
      <c r="AO162" s="279">
        <v>56000</v>
      </c>
      <c r="AP162" s="279"/>
      <c r="AQ162" s="279">
        <v>20000</v>
      </c>
      <c r="AR162" s="279">
        <v>5000</v>
      </c>
      <c r="AS162" s="293">
        <v>185000</v>
      </c>
      <c r="AT162" s="327">
        <v>185000</v>
      </c>
      <c r="AU162" s="327">
        <v>0</v>
      </c>
      <c r="AV162" s="328"/>
      <c r="AW162" s="279"/>
      <c r="AX162" s="279"/>
      <c r="AY162" s="279"/>
      <c r="AZ162" s="279"/>
      <c r="BA162" s="279"/>
      <c r="BB162" s="279"/>
      <c r="BC162" s="293"/>
      <c r="BD162" s="319"/>
      <c r="BE162" s="293"/>
      <c r="BF162" s="319"/>
      <c r="BG162" s="293"/>
      <c r="BH162" s="293"/>
      <c r="BI162" s="337">
        <v>554475</v>
      </c>
      <c r="BJ162" s="338">
        <v>0</v>
      </c>
      <c r="BK162" s="126" t="s">
        <v>1036</v>
      </c>
    </row>
    <row r="163" spans="1:63" ht="15.75">
      <c r="A163" s="314">
        <v>501349</v>
      </c>
      <c r="B163" s="125" t="s">
        <v>1030</v>
      </c>
      <c r="C163" s="124" t="s">
        <v>332</v>
      </c>
      <c r="D163" s="126">
        <v>208609</v>
      </c>
      <c r="E163" s="148" t="s">
        <v>1031</v>
      </c>
      <c r="F163" s="148" t="s">
        <v>1032</v>
      </c>
      <c r="G163" s="127" t="s">
        <v>82</v>
      </c>
      <c r="H163" s="149" t="s">
        <v>628</v>
      </c>
      <c r="I163" s="126" t="s">
        <v>598</v>
      </c>
      <c r="J163" s="126" t="s">
        <v>1033</v>
      </c>
      <c r="K163" s="128" t="s">
        <v>754</v>
      </c>
      <c r="L163" s="121" t="s">
        <v>515</v>
      </c>
      <c r="M163" s="143" t="s">
        <v>640</v>
      </c>
      <c r="N163" s="129">
        <v>42614</v>
      </c>
      <c r="O163" s="129">
        <v>43708</v>
      </c>
      <c r="P163" s="129">
        <v>43708</v>
      </c>
      <c r="Q163" s="330">
        <v>270000</v>
      </c>
      <c r="R163" s="331"/>
      <c r="S163" s="324">
        <v>57000</v>
      </c>
      <c r="T163" s="324">
        <v>0</v>
      </c>
      <c r="U163" s="324">
        <v>23000</v>
      </c>
      <c r="V163" s="324"/>
      <c r="W163" s="324">
        <v>10000</v>
      </c>
      <c r="X163" s="324">
        <v>0</v>
      </c>
      <c r="Y163" s="312">
        <v>90000</v>
      </c>
      <c r="Z163" s="325">
        <v>90000</v>
      </c>
      <c r="AA163" s="325">
        <v>0</v>
      </c>
      <c r="AB163" s="326"/>
      <c r="AC163" s="324">
        <v>57000</v>
      </c>
      <c r="AD163" s="324">
        <v>0</v>
      </c>
      <c r="AE163" s="324">
        <v>23000</v>
      </c>
      <c r="AF163" s="324">
        <v>10000</v>
      </c>
      <c r="AG163" s="324">
        <v>0</v>
      </c>
      <c r="AH163" s="324"/>
      <c r="AI163" s="312">
        <v>90000</v>
      </c>
      <c r="AJ163" s="327">
        <v>90000</v>
      </c>
      <c r="AK163" s="327">
        <v>0</v>
      </c>
      <c r="AL163" s="328"/>
      <c r="AM163" s="279">
        <v>57000</v>
      </c>
      <c r="AN163" s="279">
        <v>0</v>
      </c>
      <c r="AO163" s="279">
        <v>23000</v>
      </c>
      <c r="AP163" s="279"/>
      <c r="AQ163" s="279">
        <v>10000</v>
      </c>
      <c r="AR163" s="279">
        <v>0</v>
      </c>
      <c r="AS163" s="293">
        <v>90000</v>
      </c>
      <c r="AT163" s="327">
        <v>90000</v>
      </c>
      <c r="AU163" s="327">
        <v>0</v>
      </c>
      <c r="AV163" s="328"/>
      <c r="AW163" s="279"/>
      <c r="AX163" s="279"/>
      <c r="AY163" s="279"/>
      <c r="AZ163" s="279"/>
      <c r="BA163" s="279"/>
      <c r="BB163" s="279"/>
      <c r="BC163" s="293"/>
      <c r="BD163" s="319"/>
      <c r="BE163" s="293"/>
      <c r="BF163" s="319"/>
      <c r="BG163" s="293"/>
      <c r="BH163" s="293"/>
      <c r="BI163" s="337">
        <v>270000</v>
      </c>
      <c r="BJ163" s="338">
        <v>0</v>
      </c>
      <c r="BK163" s="280"/>
    </row>
    <row r="164" spans="1:63" ht="15.75">
      <c r="A164" s="314">
        <v>501380</v>
      </c>
      <c r="B164" s="125" t="s">
        <v>1030</v>
      </c>
      <c r="C164" s="124" t="s">
        <v>332</v>
      </c>
      <c r="D164" s="126">
        <v>208609</v>
      </c>
      <c r="E164" s="148" t="s">
        <v>1031</v>
      </c>
      <c r="F164" s="148" t="s">
        <v>1032</v>
      </c>
      <c r="G164" s="127" t="s">
        <v>82</v>
      </c>
      <c r="H164" s="149" t="s">
        <v>628</v>
      </c>
      <c r="I164" s="126" t="s">
        <v>598</v>
      </c>
      <c r="J164" s="126" t="s">
        <v>1033</v>
      </c>
      <c r="K164" s="128" t="s">
        <v>754</v>
      </c>
      <c r="L164" s="121" t="s">
        <v>515</v>
      </c>
      <c r="M164" s="143" t="s">
        <v>982</v>
      </c>
      <c r="N164" s="129">
        <v>42614</v>
      </c>
      <c r="O164" s="129">
        <v>44104</v>
      </c>
      <c r="P164" s="129">
        <v>44149</v>
      </c>
      <c r="Q164" s="330">
        <v>25000</v>
      </c>
      <c r="R164" s="331"/>
      <c r="S164" s="324">
        <v>18275</v>
      </c>
      <c r="T164" s="324">
        <v>0</v>
      </c>
      <c r="U164" s="324">
        <v>6725</v>
      </c>
      <c r="V164" s="324"/>
      <c r="W164" s="324">
        <v>0</v>
      </c>
      <c r="X164" s="324">
        <v>0</v>
      </c>
      <c r="Y164" s="312">
        <v>25000</v>
      </c>
      <c r="Z164" s="325">
        <v>25000</v>
      </c>
      <c r="AA164" s="325">
        <v>0</v>
      </c>
      <c r="AB164" s="326"/>
      <c r="AC164" s="324">
        <v>0</v>
      </c>
      <c r="AD164" s="324">
        <v>0</v>
      </c>
      <c r="AE164" s="324">
        <v>0</v>
      </c>
      <c r="AF164" s="324">
        <v>0</v>
      </c>
      <c r="AG164" s="324">
        <v>0</v>
      </c>
      <c r="AH164" s="324"/>
      <c r="AI164" s="312">
        <v>0</v>
      </c>
      <c r="AJ164" s="327">
        <v>0</v>
      </c>
      <c r="AK164" s="327">
        <v>0</v>
      </c>
      <c r="AL164" s="328"/>
      <c r="AM164" s="279">
        <v>0</v>
      </c>
      <c r="AN164" s="279">
        <v>0</v>
      </c>
      <c r="AO164" s="279">
        <v>0</v>
      </c>
      <c r="AP164" s="279"/>
      <c r="AQ164" s="279">
        <v>0</v>
      </c>
      <c r="AR164" s="279">
        <v>0</v>
      </c>
      <c r="AS164" s="293">
        <v>0</v>
      </c>
      <c r="AT164" s="327">
        <v>0</v>
      </c>
      <c r="AU164" s="327">
        <v>0</v>
      </c>
      <c r="AV164" s="328"/>
      <c r="AW164" s="279"/>
      <c r="AX164" s="279"/>
      <c r="AY164" s="279"/>
      <c r="AZ164" s="279"/>
      <c r="BA164" s="279"/>
      <c r="BB164" s="279"/>
      <c r="BC164" s="293"/>
      <c r="BD164" s="319"/>
      <c r="BE164" s="293"/>
      <c r="BF164" s="319"/>
      <c r="BG164" s="293"/>
      <c r="BH164" s="293"/>
      <c r="BI164" s="337">
        <v>25000</v>
      </c>
      <c r="BJ164" s="338">
        <v>0</v>
      </c>
      <c r="BK164" s="280"/>
    </row>
    <row r="165" spans="1:63" ht="15.75">
      <c r="A165" s="314">
        <v>507779</v>
      </c>
      <c r="B165" s="125" t="s">
        <v>1030</v>
      </c>
      <c r="C165" s="124" t="s">
        <v>332</v>
      </c>
      <c r="D165" s="126">
        <v>208609</v>
      </c>
      <c r="E165" s="148" t="s">
        <v>1031</v>
      </c>
      <c r="F165" s="148" t="s">
        <v>1032</v>
      </c>
      <c r="G165" s="127" t="s">
        <v>82</v>
      </c>
      <c r="H165" s="149" t="s">
        <v>628</v>
      </c>
      <c r="I165" s="126" t="s">
        <v>598</v>
      </c>
      <c r="J165" s="126" t="s">
        <v>1033</v>
      </c>
      <c r="K165" s="128" t="s">
        <v>754</v>
      </c>
      <c r="L165" s="121" t="s">
        <v>519</v>
      </c>
      <c r="M165" s="123" t="s">
        <v>641</v>
      </c>
      <c r="N165" s="129">
        <v>43709</v>
      </c>
      <c r="O165" s="129">
        <v>44895</v>
      </c>
      <c r="P165" s="129">
        <v>44895</v>
      </c>
      <c r="Q165" s="323">
        <v>600000</v>
      </c>
      <c r="R165" s="319"/>
      <c r="S165" s="324">
        <v>126500</v>
      </c>
      <c r="T165" s="324"/>
      <c r="U165" s="324">
        <v>35000</v>
      </c>
      <c r="V165" s="324"/>
      <c r="W165" s="324">
        <v>8000</v>
      </c>
      <c r="X165" s="324">
        <v>30500</v>
      </c>
      <c r="Y165" s="312">
        <v>200000</v>
      </c>
      <c r="Z165" s="325">
        <v>200000</v>
      </c>
      <c r="AA165" s="325">
        <v>0</v>
      </c>
      <c r="AB165" s="326"/>
      <c r="AC165" s="324">
        <v>126500</v>
      </c>
      <c r="AD165" s="324"/>
      <c r="AE165" s="324">
        <v>35000</v>
      </c>
      <c r="AF165" s="324"/>
      <c r="AG165" s="324">
        <v>8000</v>
      </c>
      <c r="AH165" s="324">
        <v>30500</v>
      </c>
      <c r="AI165" s="312">
        <v>200000</v>
      </c>
      <c r="AJ165" s="327">
        <v>200000</v>
      </c>
      <c r="AK165" s="327">
        <v>0</v>
      </c>
      <c r="AL165" s="328"/>
      <c r="AM165" s="324">
        <v>126500</v>
      </c>
      <c r="AN165" s="324">
        <v>0</v>
      </c>
      <c r="AO165" s="324">
        <v>35000</v>
      </c>
      <c r="AP165" s="324">
        <v>0</v>
      </c>
      <c r="AQ165" s="324">
        <v>8000</v>
      </c>
      <c r="AR165" s="324">
        <v>30500</v>
      </c>
      <c r="AS165" s="293">
        <v>200000</v>
      </c>
      <c r="AT165" s="327">
        <v>200000</v>
      </c>
      <c r="AU165" s="327">
        <v>0</v>
      </c>
      <c r="AV165" s="328"/>
      <c r="AW165" s="279"/>
      <c r="AX165" s="279"/>
      <c r="AY165" s="279"/>
      <c r="AZ165" s="279"/>
      <c r="BA165" s="279"/>
      <c r="BB165" s="279"/>
      <c r="BC165" s="293"/>
      <c r="BD165" s="319"/>
      <c r="BE165" s="293"/>
      <c r="BF165" s="319"/>
      <c r="BG165" s="293"/>
      <c r="BH165" s="293"/>
      <c r="BI165" s="337">
        <v>600000</v>
      </c>
      <c r="BJ165" s="338">
        <v>0</v>
      </c>
      <c r="BK165" s="280"/>
    </row>
    <row r="166" spans="1:63" ht="15.75">
      <c r="A166" s="314">
        <v>500687</v>
      </c>
      <c r="B166" s="125" t="s">
        <v>1037</v>
      </c>
      <c r="C166" s="124" t="s">
        <v>1038</v>
      </c>
      <c r="D166" s="126">
        <v>208610</v>
      </c>
      <c r="E166" s="124" t="s">
        <v>1039</v>
      </c>
      <c r="F166" s="124" t="s">
        <v>1040</v>
      </c>
      <c r="G166" s="127" t="s">
        <v>53</v>
      </c>
      <c r="H166" s="126" t="s">
        <v>597</v>
      </c>
      <c r="I166" s="126" t="s">
        <v>598</v>
      </c>
      <c r="J166" s="126" t="s">
        <v>683</v>
      </c>
      <c r="K166" s="128" t="s">
        <v>684</v>
      </c>
      <c r="L166" s="121" t="s">
        <v>637</v>
      </c>
      <c r="M166" s="123" t="s">
        <v>638</v>
      </c>
      <c r="N166" s="129">
        <v>42248</v>
      </c>
      <c r="O166" s="129">
        <v>42643</v>
      </c>
      <c r="P166" s="129">
        <v>42643</v>
      </c>
      <c r="Q166" s="323">
        <v>50000</v>
      </c>
      <c r="R166" s="324">
        <v>50000</v>
      </c>
      <c r="S166" s="324"/>
      <c r="T166" s="324">
        <v>0</v>
      </c>
      <c r="U166" s="324">
        <v>0</v>
      </c>
      <c r="V166" s="324"/>
      <c r="W166" s="324">
        <v>0</v>
      </c>
      <c r="X166" s="324">
        <v>0</v>
      </c>
      <c r="Y166" s="312">
        <v>50000</v>
      </c>
      <c r="Z166" s="325">
        <v>50000</v>
      </c>
      <c r="AA166" s="325">
        <v>0</v>
      </c>
      <c r="AB166" s="326"/>
      <c r="AC166" s="324" t="s">
        <v>602</v>
      </c>
      <c r="AD166" s="324" t="s">
        <v>602</v>
      </c>
      <c r="AE166" s="324" t="s">
        <v>602</v>
      </c>
      <c r="AF166" s="324" t="s">
        <v>602</v>
      </c>
      <c r="AG166" s="324" t="s">
        <v>602</v>
      </c>
      <c r="AH166" s="324"/>
      <c r="AI166" s="312">
        <v>0</v>
      </c>
      <c r="AJ166" s="327">
        <v>0</v>
      </c>
      <c r="AK166" s="327">
        <v>0</v>
      </c>
      <c r="AL166" s="328"/>
      <c r="AM166" s="324" t="s">
        <v>602</v>
      </c>
      <c r="AN166" s="324" t="s">
        <v>602</v>
      </c>
      <c r="AO166" s="324" t="s">
        <v>602</v>
      </c>
      <c r="AP166" s="324" t="s">
        <v>602</v>
      </c>
      <c r="AQ166" s="324" t="s">
        <v>602</v>
      </c>
      <c r="AR166" s="279" t="s">
        <v>602</v>
      </c>
      <c r="AS166" s="293">
        <v>0</v>
      </c>
      <c r="AT166" s="327">
        <v>0</v>
      </c>
      <c r="AU166" s="327">
        <v>0</v>
      </c>
      <c r="AV166" s="328"/>
      <c r="AW166" s="324" t="s">
        <v>602</v>
      </c>
      <c r="AX166" s="324" t="s">
        <v>602</v>
      </c>
      <c r="AY166" s="324" t="s">
        <v>602</v>
      </c>
      <c r="AZ166" s="324" t="s">
        <v>602</v>
      </c>
      <c r="BA166" s="324"/>
      <c r="BB166" s="324" t="s">
        <v>602</v>
      </c>
      <c r="BC166" s="293"/>
      <c r="BD166" s="319"/>
      <c r="BE166" s="293"/>
      <c r="BF166" s="319"/>
      <c r="BG166" s="293"/>
      <c r="BH166" s="293"/>
      <c r="BI166" s="337">
        <v>50000</v>
      </c>
      <c r="BJ166" s="338">
        <v>0</v>
      </c>
      <c r="BK166" s="126"/>
    </row>
    <row r="167" spans="1:63" ht="15.75">
      <c r="A167" s="314">
        <v>501335</v>
      </c>
      <c r="B167" s="125" t="s">
        <v>1037</v>
      </c>
      <c r="C167" s="124" t="s">
        <v>1038</v>
      </c>
      <c r="D167" s="126">
        <v>208610</v>
      </c>
      <c r="E167" s="124" t="s">
        <v>1039</v>
      </c>
      <c r="F167" s="124" t="s">
        <v>1040</v>
      </c>
      <c r="G167" s="127" t="s">
        <v>53</v>
      </c>
      <c r="H167" s="126" t="s">
        <v>628</v>
      </c>
      <c r="I167" s="126" t="s">
        <v>598</v>
      </c>
      <c r="J167" s="126" t="s">
        <v>683</v>
      </c>
      <c r="K167" s="128" t="s">
        <v>684</v>
      </c>
      <c r="L167" s="121" t="s">
        <v>515</v>
      </c>
      <c r="M167" s="123" t="s">
        <v>994</v>
      </c>
      <c r="N167" s="129">
        <v>42614</v>
      </c>
      <c r="O167" s="129">
        <v>43708</v>
      </c>
      <c r="P167" s="129">
        <v>43798</v>
      </c>
      <c r="Q167" s="323">
        <v>45000</v>
      </c>
      <c r="R167" s="319"/>
      <c r="S167" s="324">
        <v>5000</v>
      </c>
      <c r="T167" s="324">
        <v>0</v>
      </c>
      <c r="U167" s="324">
        <v>10000</v>
      </c>
      <c r="V167" s="324"/>
      <c r="W167" s="324">
        <v>0</v>
      </c>
      <c r="X167" s="324">
        <v>0</v>
      </c>
      <c r="Y167" s="312">
        <v>15000</v>
      </c>
      <c r="Z167" s="325">
        <v>15000</v>
      </c>
      <c r="AA167" s="325">
        <v>0</v>
      </c>
      <c r="AB167" s="326"/>
      <c r="AC167" s="324">
        <v>5000</v>
      </c>
      <c r="AD167" s="324">
        <v>0</v>
      </c>
      <c r="AE167" s="324">
        <v>10000</v>
      </c>
      <c r="AF167" s="324">
        <v>0</v>
      </c>
      <c r="AG167" s="324">
        <v>0</v>
      </c>
      <c r="AH167" s="324"/>
      <c r="AI167" s="312">
        <v>15000</v>
      </c>
      <c r="AJ167" s="327">
        <v>15000</v>
      </c>
      <c r="AK167" s="327">
        <v>0</v>
      </c>
      <c r="AL167" s="328"/>
      <c r="AM167" s="279">
        <v>5000</v>
      </c>
      <c r="AN167" s="279">
        <v>0</v>
      </c>
      <c r="AO167" s="279">
        <v>10000</v>
      </c>
      <c r="AP167" s="279"/>
      <c r="AQ167" s="279">
        <v>0</v>
      </c>
      <c r="AR167" s="279">
        <v>0</v>
      </c>
      <c r="AS167" s="293">
        <v>15000</v>
      </c>
      <c r="AT167" s="327">
        <v>15000</v>
      </c>
      <c r="AU167" s="327">
        <v>0</v>
      </c>
      <c r="AV167" s="328"/>
      <c r="AW167" s="279"/>
      <c r="AX167" s="279"/>
      <c r="AY167" s="279"/>
      <c r="AZ167" s="279"/>
      <c r="BA167" s="279"/>
      <c r="BB167" s="279"/>
      <c r="BC167" s="293"/>
      <c r="BD167" s="319"/>
      <c r="BE167" s="293"/>
      <c r="BF167" s="319"/>
      <c r="BG167" s="293"/>
      <c r="BH167" s="293"/>
      <c r="BI167" s="337">
        <v>45000</v>
      </c>
      <c r="BJ167" s="338">
        <v>0</v>
      </c>
      <c r="BK167" s="126"/>
    </row>
    <row r="168" spans="1:63" ht="15.75">
      <c r="A168" s="314">
        <v>501346</v>
      </c>
      <c r="B168" s="125" t="s">
        <v>1041</v>
      </c>
      <c r="C168" s="124" t="s">
        <v>1042</v>
      </c>
      <c r="D168" s="126">
        <v>208612</v>
      </c>
      <c r="E168" s="121" t="s">
        <v>1043</v>
      </c>
      <c r="F168" s="121" t="s">
        <v>1044</v>
      </c>
      <c r="G168" s="127" t="s">
        <v>46</v>
      </c>
      <c r="H168" s="123" t="s">
        <v>628</v>
      </c>
      <c r="I168" s="126" t="s">
        <v>598</v>
      </c>
      <c r="J168" s="126" t="s">
        <v>730</v>
      </c>
      <c r="K168" s="128" t="s">
        <v>1045</v>
      </c>
      <c r="L168" s="121" t="s">
        <v>515</v>
      </c>
      <c r="M168" s="143" t="s">
        <v>744</v>
      </c>
      <c r="N168" s="129">
        <v>42614</v>
      </c>
      <c r="O168" s="129">
        <v>43830</v>
      </c>
      <c r="P168" s="129">
        <v>43830</v>
      </c>
      <c r="Q168" s="330">
        <v>132000</v>
      </c>
      <c r="R168" s="331"/>
      <c r="S168" s="324">
        <v>44000</v>
      </c>
      <c r="T168" s="324">
        <v>0</v>
      </c>
      <c r="U168" s="324">
        <v>0</v>
      </c>
      <c r="V168" s="324"/>
      <c r="W168" s="324">
        <v>0</v>
      </c>
      <c r="X168" s="324">
        <v>0</v>
      </c>
      <c r="Y168" s="312">
        <v>44000</v>
      </c>
      <c r="Z168" s="325">
        <v>44000</v>
      </c>
      <c r="AA168" s="325">
        <v>0</v>
      </c>
      <c r="AB168" s="326"/>
      <c r="AC168" s="324">
        <v>44000</v>
      </c>
      <c r="AD168" s="324">
        <v>0</v>
      </c>
      <c r="AE168" s="324">
        <v>0</v>
      </c>
      <c r="AF168" s="324">
        <v>0</v>
      </c>
      <c r="AG168" s="324">
        <v>0</v>
      </c>
      <c r="AH168" s="324"/>
      <c r="AI168" s="312">
        <v>44000</v>
      </c>
      <c r="AJ168" s="327">
        <v>44000</v>
      </c>
      <c r="AK168" s="327">
        <v>0</v>
      </c>
      <c r="AL168" s="328"/>
      <c r="AM168" s="279">
        <v>44000</v>
      </c>
      <c r="AN168" s="279">
        <v>0</v>
      </c>
      <c r="AO168" s="279">
        <v>0</v>
      </c>
      <c r="AP168" s="279"/>
      <c r="AQ168" s="279">
        <v>0</v>
      </c>
      <c r="AR168" s="279">
        <v>0</v>
      </c>
      <c r="AS168" s="293">
        <v>44000</v>
      </c>
      <c r="AT168" s="327">
        <v>44000</v>
      </c>
      <c r="AU168" s="327">
        <v>0</v>
      </c>
      <c r="AV168" s="328"/>
      <c r="AW168" s="279"/>
      <c r="AX168" s="279"/>
      <c r="AY168" s="279"/>
      <c r="AZ168" s="279"/>
      <c r="BA168" s="279"/>
      <c r="BB168" s="279"/>
      <c r="BC168" s="293"/>
      <c r="BD168" s="319"/>
      <c r="BE168" s="293"/>
      <c r="BF168" s="319"/>
      <c r="BG168" s="293"/>
      <c r="BH168" s="293"/>
      <c r="BI168" s="337">
        <v>132000</v>
      </c>
      <c r="BJ168" s="338">
        <v>0</v>
      </c>
      <c r="BK168" s="280" t="s">
        <v>1046</v>
      </c>
    </row>
    <row r="169" spans="1:63" ht="15.75">
      <c r="A169" s="314">
        <v>500742</v>
      </c>
      <c r="B169" s="125" t="s">
        <v>1047</v>
      </c>
      <c r="C169" s="124" t="s">
        <v>1048</v>
      </c>
      <c r="D169" s="126">
        <v>208615</v>
      </c>
      <c r="E169" s="148" t="s">
        <v>1049</v>
      </c>
      <c r="F169" s="148" t="s">
        <v>1008</v>
      </c>
      <c r="G169" s="127" t="s">
        <v>53</v>
      </c>
      <c r="H169" s="149" t="s">
        <v>597</v>
      </c>
      <c r="I169" s="126" t="s">
        <v>598</v>
      </c>
      <c r="J169" s="126" t="s">
        <v>1050</v>
      </c>
      <c r="K169" s="128" t="s">
        <v>1051</v>
      </c>
      <c r="L169" s="121" t="s">
        <v>637</v>
      </c>
      <c r="M169" s="123" t="s">
        <v>638</v>
      </c>
      <c r="N169" s="129">
        <v>42248</v>
      </c>
      <c r="O169" s="129">
        <v>42643</v>
      </c>
      <c r="P169" s="129">
        <v>43921</v>
      </c>
      <c r="Q169" s="330">
        <v>25000</v>
      </c>
      <c r="R169" s="324">
        <v>25000</v>
      </c>
      <c r="S169" s="324"/>
      <c r="T169" s="324">
        <v>0</v>
      </c>
      <c r="U169" s="324">
        <v>0</v>
      </c>
      <c r="V169" s="324"/>
      <c r="W169" s="324">
        <v>0</v>
      </c>
      <c r="X169" s="324">
        <v>0</v>
      </c>
      <c r="Y169" s="312">
        <v>25000</v>
      </c>
      <c r="Z169" s="325">
        <v>25000</v>
      </c>
      <c r="AA169" s="325">
        <v>0</v>
      </c>
      <c r="AB169" s="326"/>
      <c r="AC169" s="324" t="s">
        <v>602</v>
      </c>
      <c r="AD169" s="324" t="s">
        <v>602</v>
      </c>
      <c r="AE169" s="324" t="s">
        <v>602</v>
      </c>
      <c r="AF169" s="324" t="s">
        <v>602</v>
      </c>
      <c r="AG169" s="324" t="s">
        <v>602</v>
      </c>
      <c r="AH169" s="324"/>
      <c r="AI169" s="312">
        <v>0</v>
      </c>
      <c r="AJ169" s="327">
        <v>0</v>
      </c>
      <c r="AK169" s="327">
        <v>0</v>
      </c>
      <c r="AL169" s="328"/>
      <c r="AM169" s="324">
        <v>0</v>
      </c>
      <c r="AN169" s="324">
        <v>0</v>
      </c>
      <c r="AO169" s="324">
        <v>0</v>
      </c>
      <c r="AP169" s="324">
        <v>0</v>
      </c>
      <c r="AQ169" s="324">
        <v>0</v>
      </c>
      <c r="AR169" s="324">
        <v>0</v>
      </c>
      <c r="AS169" s="293">
        <v>0</v>
      </c>
      <c r="AT169" s="327">
        <v>0</v>
      </c>
      <c r="AU169" s="327">
        <v>0</v>
      </c>
      <c r="AV169" s="328"/>
      <c r="AW169" s="324" t="s">
        <v>602</v>
      </c>
      <c r="AX169" s="324" t="s">
        <v>602</v>
      </c>
      <c r="AY169" s="324" t="s">
        <v>602</v>
      </c>
      <c r="AZ169" s="324" t="s">
        <v>602</v>
      </c>
      <c r="BA169" s="324"/>
      <c r="BB169" s="324" t="s">
        <v>602</v>
      </c>
      <c r="BC169" s="293"/>
      <c r="BD169" s="319"/>
      <c r="BE169" s="293"/>
      <c r="BF169" s="319"/>
      <c r="BG169" s="293"/>
      <c r="BH169" s="293"/>
      <c r="BI169" s="337">
        <v>25000</v>
      </c>
      <c r="BJ169" s="338">
        <v>0</v>
      </c>
      <c r="BK169" s="280"/>
    </row>
    <row r="170" spans="1:63" ht="15.75">
      <c r="A170" s="314">
        <v>501345</v>
      </c>
      <c r="B170" s="125" t="s">
        <v>1047</v>
      </c>
      <c r="C170" s="124" t="s">
        <v>1048</v>
      </c>
      <c r="D170" s="126">
        <v>208615</v>
      </c>
      <c r="E170" s="148" t="s">
        <v>1049</v>
      </c>
      <c r="F170" s="148" t="s">
        <v>1008</v>
      </c>
      <c r="G170" s="127" t="s">
        <v>53</v>
      </c>
      <c r="H170" s="149" t="s">
        <v>628</v>
      </c>
      <c r="I170" s="126" t="s">
        <v>598</v>
      </c>
      <c r="J170" s="126" t="s">
        <v>1050</v>
      </c>
      <c r="K170" s="128" t="s">
        <v>731</v>
      </c>
      <c r="L170" s="121" t="s">
        <v>515</v>
      </c>
      <c r="M170" s="123" t="s">
        <v>714</v>
      </c>
      <c r="N170" s="129">
        <v>42614</v>
      </c>
      <c r="O170" s="129">
        <v>43890</v>
      </c>
      <c r="P170" s="129">
        <v>44145</v>
      </c>
      <c r="Q170" s="330">
        <v>57214.04</v>
      </c>
      <c r="R170" s="331"/>
      <c r="S170" s="324">
        <v>0</v>
      </c>
      <c r="T170" s="324">
        <v>0</v>
      </c>
      <c r="U170" s="324">
        <v>55227</v>
      </c>
      <c r="V170" s="324"/>
      <c r="W170" s="324">
        <v>0</v>
      </c>
      <c r="X170" s="324">
        <v>0</v>
      </c>
      <c r="Y170" s="312">
        <v>55227</v>
      </c>
      <c r="Z170" s="325">
        <v>55227</v>
      </c>
      <c r="AA170" s="325">
        <v>0</v>
      </c>
      <c r="AB170" s="326"/>
      <c r="AC170" s="324">
        <v>0</v>
      </c>
      <c r="AD170" s="324">
        <v>0</v>
      </c>
      <c r="AE170" s="324">
        <v>1987.0400000000009</v>
      </c>
      <c r="AF170" s="324">
        <v>0</v>
      </c>
      <c r="AG170" s="324">
        <v>0</v>
      </c>
      <c r="AH170" s="324"/>
      <c r="AI170" s="312">
        <v>1987.04</v>
      </c>
      <c r="AJ170" s="327">
        <v>1987.0400000000009</v>
      </c>
      <c r="AK170" s="327">
        <v>0</v>
      </c>
      <c r="AL170" s="328"/>
      <c r="AM170" s="279">
        <v>0</v>
      </c>
      <c r="AN170" s="279">
        <v>0</v>
      </c>
      <c r="AO170" s="279">
        <v>0</v>
      </c>
      <c r="AP170" s="279"/>
      <c r="AQ170" s="279">
        <v>0</v>
      </c>
      <c r="AR170" s="279">
        <v>0</v>
      </c>
      <c r="AS170" s="293">
        <v>0</v>
      </c>
      <c r="AT170" s="327">
        <v>0</v>
      </c>
      <c r="AU170" s="327">
        <v>0</v>
      </c>
      <c r="AV170" s="328"/>
      <c r="AW170" s="279"/>
      <c r="AX170" s="279"/>
      <c r="AY170" s="279"/>
      <c r="AZ170" s="279"/>
      <c r="BA170" s="279"/>
      <c r="BB170" s="279"/>
      <c r="BC170" s="293"/>
      <c r="BD170" s="319"/>
      <c r="BE170" s="293"/>
      <c r="BF170" s="319"/>
      <c r="BG170" s="293"/>
      <c r="BH170" s="293"/>
      <c r="BI170" s="337">
        <v>57214.04</v>
      </c>
      <c r="BJ170" s="338">
        <v>0</v>
      </c>
      <c r="BK170" s="280"/>
    </row>
    <row r="171" spans="1:63" ht="15.75">
      <c r="A171" s="314">
        <v>500668</v>
      </c>
      <c r="B171" s="125" t="s">
        <v>1052</v>
      </c>
      <c r="C171" s="124" t="s">
        <v>69</v>
      </c>
      <c r="D171" s="126">
        <v>208616</v>
      </c>
      <c r="E171" s="148" t="s">
        <v>1053</v>
      </c>
      <c r="F171" s="148" t="s">
        <v>865</v>
      </c>
      <c r="G171" s="127" t="s">
        <v>53</v>
      </c>
      <c r="H171" s="149" t="s">
        <v>597</v>
      </c>
      <c r="I171" s="126" t="s">
        <v>598</v>
      </c>
      <c r="J171" s="126" t="s">
        <v>650</v>
      </c>
      <c r="K171" s="128" t="s">
        <v>630</v>
      </c>
      <c r="L171" s="121" t="s">
        <v>637</v>
      </c>
      <c r="M171" s="143" t="s">
        <v>638</v>
      </c>
      <c r="N171" s="129">
        <v>42248</v>
      </c>
      <c r="O171" s="129">
        <v>42643</v>
      </c>
      <c r="P171" s="129">
        <v>42643</v>
      </c>
      <c r="Q171" s="330">
        <v>75000</v>
      </c>
      <c r="R171" s="324">
        <v>75000</v>
      </c>
      <c r="S171" s="324"/>
      <c r="T171" s="324">
        <v>0</v>
      </c>
      <c r="U171" s="324">
        <v>0</v>
      </c>
      <c r="V171" s="324"/>
      <c r="W171" s="324">
        <v>0</v>
      </c>
      <c r="X171" s="324">
        <v>0</v>
      </c>
      <c r="Y171" s="312">
        <v>75000</v>
      </c>
      <c r="Z171" s="325">
        <v>75000</v>
      </c>
      <c r="AA171" s="325">
        <v>0</v>
      </c>
      <c r="AB171" s="326"/>
      <c r="AC171" s="324" t="s">
        <v>602</v>
      </c>
      <c r="AD171" s="324" t="s">
        <v>602</v>
      </c>
      <c r="AE171" s="324" t="s">
        <v>602</v>
      </c>
      <c r="AF171" s="324" t="s">
        <v>602</v>
      </c>
      <c r="AG171" s="324" t="s">
        <v>602</v>
      </c>
      <c r="AH171" s="324"/>
      <c r="AI171" s="312">
        <v>0</v>
      </c>
      <c r="AJ171" s="327">
        <v>0</v>
      </c>
      <c r="AK171" s="327">
        <v>0</v>
      </c>
      <c r="AL171" s="328"/>
      <c r="AM171" s="324">
        <v>0</v>
      </c>
      <c r="AN171" s="324">
        <v>0</v>
      </c>
      <c r="AO171" s="324">
        <v>0</v>
      </c>
      <c r="AP171" s="324">
        <v>0</v>
      </c>
      <c r="AQ171" s="324">
        <v>0</v>
      </c>
      <c r="AR171" s="324">
        <v>0</v>
      </c>
      <c r="AS171" s="293">
        <v>0</v>
      </c>
      <c r="AT171" s="327">
        <v>0</v>
      </c>
      <c r="AU171" s="327">
        <v>0</v>
      </c>
      <c r="AV171" s="328"/>
      <c r="AW171" s="324" t="s">
        <v>602</v>
      </c>
      <c r="AX171" s="324" t="s">
        <v>602</v>
      </c>
      <c r="AY171" s="324" t="s">
        <v>602</v>
      </c>
      <c r="AZ171" s="324" t="s">
        <v>602</v>
      </c>
      <c r="BA171" s="324"/>
      <c r="BB171" s="324" t="s">
        <v>602</v>
      </c>
      <c r="BC171" s="293"/>
      <c r="BD171" s="319"/>
      <c r="BE171" s="293"/>
      <c r="BF171" s="319"/>
      <c r="BG171" s="293"/>
      <c r="BH171" s="293"/>
      <c r="BI171" s="337">
        <v>75000</v>
      </c>
      <c r="BJ171" s="338">
        <v>0</v>
      </c>
      <c r="BK171" s="280"/>
    </row>
    <row r="172" spans="1:63" ht="15.75">
      <c r="A172" s="314">
        <v>500974</v>
      </c>
      <c r="B172" s="125" t="s">
        <v>1052</v>
      </c>
      <c r="C172" s="124" t="s">
        <v>69</v>
      </c>
      <c r="D172" s="126">
        <v>208616</v>
      </c>
      <c r="E172" s="124" t="s">
        <v>1053</v>
      </c>
      <c r="F172" s="124" t="s">
        <v>865</v>
      </c>
      <c r="G172" s="127" t="s">
        <v>53</v>
      </c>
      <c r="H172" s="126" t="s">
        <v>597</v>
      </c>
      <c r="I172" s="126" t="s">
        <v>598</v>
      </c>
      <c r="J172" s="126" t="s">
        <v>650</v>
      </c>
      <c r="K172" s="128" t="s">
        <v>630</v>
      </c>
      <c r="L172" s="121" t="s">
        <v>19</v>
      </c>
      <c r="M172" s="123" t="s">
        <v>661</v>
      </c>
      <c r="N172" s="129">
        <v>42522</v>
      </c>
      <c r="O172" s="129">
        <v>43251</v>
      </c>
      <c r="P172" s="129">
        <v>43251</v>
      </c>
      <c r="Q172" s="323">
        <v>101000</v>
      </c>
      <c r="R172" s="324">
        <v>50500</v>
      </c>
      <c r="S172" s="324">
        <v>0</v>
      </c>
      <c r="T172" s="324">
        <v>0</v>
      </c>
      <c r="U172" s="324">
        <v>0</v>
      </c>
      <c r="V172" s="324">
        <v>0</v>
      </c>
      <c r="W172" s="324">
        <v>0</v>
      </c>
      <c r="X172" s="324">
        <v>0</v>
      </c>
      <c r="Y172" s="312">
        <v>50500</v>
      </c>
      <c r="Z172" s="325">
        <v>50500</v>
      </c>
      <c r="AA172" s="325">
        <v>0</v>
      </c>
      <c r="AB172" s="324">
        <v>50500</v>
      </c>
      <c r="AC172" s="324">
        <v>0</v>
      </c>
      <c r="AD172" s="324">
        <v>0</v>
      </c>
      <c r="AE172" s="324">
        <v>0</v>
      </c>
      <c r="AF172" s="324">
        <v>0</v>
      </c>
      <c r="AG172" s="324">
        <v>0</v>
      </c>
      <c r="AH172" s="324"/>
      <c r="AI172" s="312">
        <v>50500</v>
      </c>
      <c r="AJ172" s="327">
        <v>50500</v>
      </c>
      <c r="AK172" s="327">
        <v>0</v>
      </c>
      <c r="AL172" s="339"/>
      <c r="AM172" s="324">
        <v>0</v>
      </c>
      <c r="AN172" s="324">
        <v>0</v>
      </c>
      <c r="AO172" s="324">
        <v>0</v>
      </c>
      <c r="AP172" s="324">
        <v>0</v>
      </c>
      <c r="AQ172" s="324">
        <v>0</v>
      </c>
      <c r="AR172" s="324">
        <v>0</v>
      </c>
      <c r="AS172" s="293">
        <v>0</v>
      </c>
      <c r="AT172" s="327">
        <v>0</v>
      </c>
      <c r="AU172" s="327">
        <v>0</v>
      </c>
      <c r="AV172" s="328"/>
      <c r="AW172" s="279"/>
      <c r="AX172" s="279"/>
      <c r="AY172" s="279"/>
      <c r="AZ172" s="279"/>
      <c r="BA172" s="279"/>
      <c r="BB172" s="279"/>
      <c r="BC172" s="293"/>
      <c r="BD172" s="319"/>
      <c r="BE172" s="293"/>
      <c r="BF172" s="319"/>
      <c r="BG172" s="293"/>
      <c r="BH172" s="293"/>
      <c r="BI172" s="337">
        <v>101000</v>
      </c>
      <c r="BJ172" s="338">
        <v>0</v>
      </c>
      <c r="BK172" s="126"/>
    </row>
    <row r="173" spans="1:63" ht="15.75">
      <c r="A173" s="314">
        <v>501343</v>
      </c>
      <c r="B173" s="125" t="s">
        <v>1052</v>
      </c>
      <c r="C173" s="124" t="s">
        <v>69</v>
      </c>
      <c r="D173" s="126">
        <v>208616</v>
      </c>
      <c r="E173" s="124" t="s">
        <v>1053</v>
      </c>
      <c r="F173" s="124" t="s">
        <v>865</v>
      </c>
      <c r="G173" s="127" t="s">
        <v>53</v>
      </c>
      <c r="H173" s="126" t="s">
        <v>597</v>
      </c>
      <c r="I173" s="126" t="s">
        <v>598</v>
      </c>
      <c r="J173" s="126" t="s">
        <v>650</v>
      </c>
      <c r="K173" s="128" t="s">
        <v>651</v>
      </c>
      <c r="L173" s="121" t="s">
        <v>515</v>
      </c>
      <c r="M173" s="123" t="s">
        <v>1054</v>
      </c>
      <c r="N173" s="129">
        <v>42614</v>
      </c>
      <c r="O173" s="129">
        <v>43708</v>
      </c>
      <c r="P173" s="129">
        <v>43343</v>
      </c>
      <c r="Q173" s="323">
        <v>190250</v>
      </c>
      <c r="R173" s="319"/>
      <c r="S173" s="324">
        <v>0</v>
      </c>
      <c r="T173" s="324">
        <v>0</v>
      </c>
      <c r="U173" s="324">
        <v>51750</v>
      </c>
      <c r="V173" s="324"/>
      <c r="W173" s="324">
        <v>10000</v>
      </c>
      <c r="X173" s="324">
        <v>5000</v>
      </c>
      <c r="Y173" s="312">
        <v>66750</v>
      </c>
      <c r="Z173" s="325">
        <v>66750</v>
      </c>
      <c r="AA173" s="325">
        <v>0</v>
      </c>
      <c r="AB173" s="326"/>
      <c r="AC173" s="324">
        <v>0</v>
      </c>
      <c r="AD173" s="324">
        <v>0</v>
      </c>
      <c r="AE173" s="324">
        <v>51750</v>
      </c>
      <c r="AF173" s="324">
        <v>10000</v>
      </c>
      <c r="AG173" s="324">
        <v>0</v>
      </c>
      <c r="AH173" s="324"/>
      <c r="AI173" s="312">
        <v>61750</v>
      </c>
      <c r="AJ173" s="327">
        <v>61750</v>
      </c>
      <c r="AK173" s="327">
        <v>0</v>
      </c>
      <c r="AL173" s="328"/>
      <c r="AM173" s="279">
        <v>0</v>
      </c>
      <c r="AN173" s="279">
        <v>0</v>
      </c>
      <c r="AO173" s="279">
        <v>51750</v>
      </c>
      <c r="AP173" s="279"/>
      <c r="AQ173" s="279">
        <v>10000</v>
      </c>
      <c r="AR173" s="279">
        <v>0</v>
      </c>
      <c r="AS173" s="293">
        <v>61750</v>
      </c>
      <c r="AT173" s="327">
        <v>61750</v>
      </c>
      <c r="AU173" s="327">
        <v>0</v>
      </c>
      <c r="AV173" s="328"/>
      <c r="AW173" s="279"/>
      <c r="AX173" s="279"/>
      <c r="AY173" s="279"/>
      <c r="AZ173" s="279"/>
      <c r="BA173" s="279"/>
      <c r="BB173" s="279"/>
      <c r="BC173" s="293"/>
      <c r="BD173" s="319"/>
      <c r="BE173" s="293"/>
      <c r="BF173" s="319"/>
      <c r="BG173" s="293"/>
      <c r="BH173" s="293"/>
      <c r="BI173" s="337">
        <v>190250</v>
      </c>
      <c r="BJ173" s="338">
        <v>0</v>
      </c>
      <c r="BK173" s="126"/>
    </row>
    <row r="174" spans="1:63" ht="15.75">
      <c r="A174" s="314">
        <v>501349</v>
      </c>
      <c r="B174" s="125" t="s">
        <v>1052</v>
      </c>
      <c r="C174" s="124" t="s">
        <v>69</v>
      </c>
      <c r="D174" s="126">
        <v>208616</v>
      </c>
      <c r="E174" s="124" t="s">
        <v>1053</v>
      </c>
      <c r="F174" s="124" t="s">
        <v>865</v>
      </c>
      <c r="G174" s="127" t="s">
        <v>53</v>
      </c>
      <c r="H174" s="126" t="s">
        <v>628</v>
      </c>
      <c r="I174" s="126" t="s">
        <v>598</v>
      </c>
      <c r="J174" s="126" t="s">
        <v>650</v>
      </c>
      <c r="K174" s="128" t="s">
        <v>651</v>
      </c>
      <c r="L174" s="121" t="s">
        <v>515</v>
      </c>
      <c r="M174" s="123" t="s">
        <v>640</v>
      </c>
      <c r="N174" s="129">
        <v>42614</v>
      </c>
      <c r="O174" s="129">
        <v>43708</v>
      </c>
      <c r="P174" s="129">
        <v>43708</v>
      </c>
      <c r="Q174" s="323">
        <v>57800</v>
      </c>
      <c r="R174" s="319"/>
      <c r="S174" s="324">
        <v>0</v>
      </c>
      <c r="T174" s="324">
        <v>0</v>
      </c>
      <c r="U174" s="324">
        <v>15600</v>
      </c>
      <c r="V174" s="324"/>
      <c r="W174" s="324">
        <v>0</v>
      </c>
      <c r="X174" s="324">
        <v>0</v>
      </c>
      <c r="Y174" s="312">
        <v>15600</v>
      </c>
      <c r="Z174" s="325">
        <v>15600</v>
      </c>
      <c r="AA174" s="325">
        <v>0</v>
      </c>
      <c r="AB174" s="326"/>
      <c r="AC174" s="324">
        <v>0</v>
      </c>
      <c r="AD174" s="324">
        <v>0</v>
      </c>
      <c r="AE174" s="324">
        <v>15600</v>
      </c>
      <c r="AF174" s="324">
        <v>5500</v>
      </c>
      <c r="AG174" s="324">
        <v>0</v>
      </c>
      <c r="AH174" s="324"/>
      <c r="AI174" s="312">
        <v>21100</v>
      </c>
      <c r="AJ174" s="327">
        <v>21100</v>
      </c>
      <c r="AK174" s="327">
        <v>0</v>
      </c>
      <c r="AL174" s="328"/>
      <c r="AM174" s="279">
        <v>0</v>
      </c>
      <c r="AN174" s="279">
        <v>0</v>
      </c>
      <c r="AO174" s="279">
        <v>15600</v>
      </c>
      <c r="AP174" s="279"/>
      <c r="AQ174" s="279">
        <v>5500</v>
      </c>
      <c r="AR174" s="279">
        <v>0</v>
      </c>
      <c r="AS174" s="293">
        <v>21100</v>
      </c>
      <c r="AT174" s="327">
        <v>21100</v>
      </c>
      <c r="AU174" s="327">
        <v>0</v>
      </c>
      <c r="AV174" s="328"/>
      <c r="AW174" s="279"/>
      <c r="AX174" s="279"/>
      <c r="AY174" s="279"/>
      <c r="AZ174" s="279"/>
      <c r="BA174" s="279"/>
      <c r="BB174" s="279"/>
      <c r="BC174" s="293"/>
      <c r="BD174" s="319"/>
      <c r="BE174" s="293"/>
      <c r="BF174" s="319"/>
      <c r="BG174" s="293"/>
      <c r="BH174" s="293"/>
      <c r="BI174" s="337">
        <v>57800</v>
      </c>
      <c r="BJ174" s="338">
        <v>0</v>
      </c>
      <c r="BK174" s="126"/>
    </row>
    <row r="175" spans="1:63" ht="15.75">
      <c r="A175" s="314">
        <v>502535</v>
      </c>
      <c r="B175" s="125" t="s">
        <v>1052</v>
      </c>
      <c r="C175" s="124" t="s">
        <v>69</v>
      </c>
      <c r="D175" s="126">
        <v>208616</v>
      </c>
      <c r="E175" s="124" t="s">
        <v>1053</v>
      </c>
      <c r="F175" s="124" t="s">
        <v>865</v>
      </c>
      <c r="G175" s="127" t="s">
        <v>53</v>
      </c>
      <c r="H175" s="126" t="s">
        <v>597</v>
      </c>
      <c r="I175" s="126" t="s">
        <v>598</v>
      </c>
      <c r="J175" s="126" t="s">
        <v>650</v>
      </c>
      <c r="K175" s="128" t="s">
        <v>651</v>
      </c>
      <c r="L175" s="121" t="s">
        <v>517</v>
      </c>
      <c r="M175" s="123" t="s">
        <v>1055</v>
      </c>
      <c r="N175" s="129">
        <v>43070</v>
      </c>
      <c r="O175" s="129">
        <v>44196</v>
      </c>
      <c r="P175" s="129">
        <v>44196</v>
      </c>
      <c r="Q175" s="323">
        <v>150000</v>
      </c>
      <c r="R175" s="319"/>
      <c r="S175" s="324">
        <v>16667</v>
      </c>
      <c r="T175" s="324">
        <v>0</v>
      </c>
      <c r="U175" s="324">
        <v>0</v>
      </c>
      <c r="V175" s="324"/>
      <c r="W175" s="324">
        <v>0</v>
      </c>
      <c r="X175" s="324">
        <v>0</v>
      </c>
      <c r="Y175" s="312">
        <v>16667</v>
      </c>
      <c r="Z175" s="325">
        <v>16667</v>
      </c>
      <c r="AA175" s="325">
        <v>0</v>
      </c>
      <c r="AB175" s="326"/>
      <c r="AC175" s="324">
        <v>50000</v>
      </c>
      <c r="AD175" s="324">
        <v>0</v>
      </c>
      <c r="AE175" s="324">
        <v>0</v>
      </c>
      <c r="AF175" s="324">
        <v>0</v>
      </c>
      <c r="AG175" s="324">
        <v>0</v>
      </c>
      <c r="AH175" s="324"/>
      <c r="AI175" s="312">
        <v>50000</v>
      </c>
      <c r="AJ175" s="327">
        <v>50000</v>
      </c>
      <c r="AK175" s="327">
        <v>0</v>
      </c>
      <c r="AL175" s="328"/>
      <c r="AM175" s="324">
        <v>50000</v>
      </c>
      <c r="AN175" s="324">
        <v>0</v>
      </c>
      <c r="AO175" s="324">
        <v>0</v>
      </c>
      <c r="AP175" s="324">
        <v>0</v>
      </c>
      <c r="AQ175" s="324">
        <v>0</v>
      </c>
      <c r="AR175" s="279">
        <v>0</v>
      </c>
      <c r="AS175" s="293">
        <v>50000</v>
      </c>
      <c r="AT175" s="327">
        <v>50000</v>
      </c>
      <c r="AU175" s="327">
        <v>0</v>
      </c>
      <c r="AV175" s="328"/>
      <c r="AW175" s="279">
        <v>33333</v>
      </c>
      <c r="AX175" s="281">
        <v>0</v>
      </c>
      <c r="AY175" s="281">
        <v>0</v>
      </c>
      <c r="AZ175" s="281">
        <v>0</v>
      </c>
      <c r="BA175" s="281"/>
      <c r="BB175" s="281">
        <v>0</v>
      </c>
      <c r="BC175" s="293">
        <v>33333</v>
      </c>
      <c r="BD175" s="319"/>
      <c r="BE175" s="293"/>
      <c r="BF175" s="319"/>
      <c r="BG175" s="293"/>
      <c r="BH175" s="293"/>
      <c r="BI175" s="337">
        <v>150000</v>
      </c>
      <c r="BJ175" s="338">
        <v>0</v>
      </c>
      <c r="BK175" s="126" t="s">
        <v>1056</v>
      </c>
    </row>
    <row r="176" spans="1:63" ht="15.75">
      <c r="A176" s="314">
        <v>507779</v>
      </c>
      <c r="B176" s="125" t="s">
        <v>1052</v>
      </c>
      <c r="C176" s="124" t="s">
        <v>69</v>
      </c>
      <c r="D176" s="126">
        <v>208616</v>
      </c>
      <c r="E176" s="124" t="s">
        <v>1053</v>
      </c>
      <c r="F176" s="124" t="s">
        <v>865</v>
      </c>
      <c r="G176" s="127" t="s">
        <v>53</v>
      </c>
      <c r="H176" s="149" t="s">
        <v>628</v>
      </c>
      <c r="I176" s="126" t="s">
        <v>598</v>
      </c>
      <c r="J176" s="126" t="s">
        <v>650</v>
      </c>
      <c r="K176" s="128" t="s">
        <v>651</v>
      </c>
      <c r="L176" s="121" t="s">
        <v>519</v>
      </c>
      <c r="M176" s="123" t="s">
        <v>641</v>
      </c>
      <c r="N176" s="129">
        <v>43709</v>
      </c>
      <c r="O176" s="129">
        <v>44895</v>
      </c>
      <c r="P176" s="129">
        <v>44895</v>
      </c>
      <c r="Q176" s="323">
        <v>240000</v>
      </c>
      <c r="R176" s="319"/>
      <c r="S176" s="324">
        <v>50000</v>
      </c>
      <c r="T176" s="324">
        <v>0</v>
      </c>
      <c r="U176" s="324">
        <v>20000</v>
      </c>
      <c r="V176" s="324">
        <v>0</v>
      </c>
      <c r="W176" s="324">
        <v>10000</v>
      </c>
      <c r="X176" s="324">
        <v>0</v>
      </c>
      <c r="Y176" s="312">
        <v>80000</v>
      </c>
      <c r="Z176" s="325">
        <v>80000</v>
      </c>
      <c r="AA176" s="325">
        <v>0</v>
      </c>
      <c r="AB176" s="326"/>
      <c r="AC176" s="324">
        <v>50000</v>
      </c>
      <c r="AD176" s="324">
        <v>0</v>
      </c>
      <c r="AE176" s="324">
        <v>20000</v>
      </c>
      <c r="AF176" s="324">
        <v>0</v>
      </c>
      <c r="AG176" s="324">
        <v>10000</v>
      </c>
      <c r="AH176" s="324">
        <v>0</v>
      </c>
      <c r="AI176" s="312">
        <v>80000</v>
      </c>
      <c r="AJ176" s="327">
        <v>80000</v>
      </c>
      <c r="AK176" s="327">
        <v>0</v>
      </c>
      <c r="AL176" s="328"/>
      <c r="AM176" s="324">
        <v>50000</v>
      </c>
      <c r="AN176" s="324">
        <v>0</v>
      </c>
      <c r="AO176" s="324">
        <v>20000</v>
      </c>
      <c r="AP176" s="324">
        <v>0</v>
      </c>
      <c r="AQ176" s="324">
        <v>10000</v>
      </c>
      <c r="AR176" s="324">
        <v>0</v>
      </c>
      <c r="AS176" s="293">
        <v>80000</v>
      </c>
      <c r="AT176" s="327">
        <v>80000</v>
      </c>
      <c r="AU176" s="327">
        <v>0</v>
      </c>
      <c r="AV176" s="328"/>
      <c r="AW176" s="279"/>
      <c r="AX176" s="279"/>
      <c r="AY176" s="279"/>
      <c r="AZ176" s="279"/>
      <c r="BA176" s="279"/>
      <c r="BB176" s="279"/>
      <c r="BC176" s="293"/>
      <c r="BD176" s="319"/>
      <c r="BE176" s="293"/>
      <c r="BF176" s="319"/>
      <c r="BG176" s="293"/>
      <c r="BH176" s="293"/>
      <c r="BI176" s="337">
        <v>240000</v>
      </c>
      <c r="BJ176" s="338">
        <v>0</v>
      </c>
      <c r="BK176" s="126"/>
    </row>
    <row r="177" spans="1:63" ht="15.75">
      <c r="A177" s="314">
        <v>512029</v>
      </c>
      <c r="B177" s="125" t="s">
        <v>1052</v>
      </c>
      <c r="C177" s="124" t="s">
        <v>69</v>
      </c>
      <c r="D177" s="126">
        <v>208616</v>
      </c>
      <c r="E177" s="148" t="s">
        <v>1053</v>
      </c>
      <c r="F177" s="148" t="s">
        <v>865</v>
      </c>
      <c r="G177" s="127" t="s">
        <v>53</v>
      </c>
      <c r="H177" s="126" t="s">
        <v>628</v>
      </c>
      <c r="I177" s="126" t="s">
        <v>598</v>
      </c>
      <c r="J177" s="126" t="s">
        <v>650</v>
      </c>
      <c r="K177" s="128" t="s">
        <v>651</v>
      </c>
      <c r="L177" s="121" t="s">
        <v>5</v>
      </c>
      <c r="M177" s="123" t="s">
        <v>1057</v>
      </c>
      <c r="N177" s="129">
        <v>44287</v>
      </c>
      <c r="O177" s="129">
        <v>44651</v>
      </c>
      <c r="P177" s="129">
        <v>44651</v>
      </c>
      <c r="Q177" s="330">
        <v>55000</v>
      </c>
      <c r="R177" s="324"/>
      <c r="S177" s="324">
        <v>30000</v>
      </c>
      <c r="T177" s="324">
        <v>0</v>
      </c>
      <c r="U177" s="324">
        <v>25000</v>
      </c>
      <c r="V177" s="324">
        <v>0</v>
      </c>
      <c r="W177" s="324">
        <v>0</v>
      </c>
      <c r="X177" s="324">
        <v>0</v>
      </c>
      <c r="Y177" s="312">
        <v>55000</v>
      </c>
      <c r="Z177" s="325">
        <v>55000</v>
      </c>
      <c r="AA177" s="325">
        <v>0</v>
      </c>
      <c r="AB177" s="326"/>
      <c r="AC177" s="324">
        <v>30000</v>
      </c>
      <c r="AD177" s="324">
        <v>0</v>
      </c>
      <c r="AE177" s="324">
        <v>30000</v>
      </c>
      <c r="AF177" s="324">
        <v>0</v>
      </c>
      <c r="AG177" s="324">
        <v>0</v>
      </c>
      <c r="AH177" s="324">
        <v>0</v>
      </c>
      <c r="AI177" s="312">
        <v>60000</v>
      </c>
      <c r="AJ177" s="327">
        <v>60000</v>
      </c>
      <c r="AK177" s="327">
        <v>0</v>
      </c>
      <c r="AL177" s="328"/>
      <c r="AM177" s="324"/>
      <c r="AN177" s="324"/>
      <c r="AO177" s="324"/>
      <c r="AP177" s="324"/>
      <c r="AQ177" s="324"/>
      <c r="AR177" s="279"/>
      <c r="AS177" s="293"/>
      <c r="AT177" s="327"/>
      <c r="AU177" s="327"/>
      <c r="AV177" s="328"/>
      <c r="AW177" s="324"/>
      <c r="AX177" s="324"/>
      <c r="AY177" s="324"/>
      <c r="AZ177" s="324"/>
      <c r="BA177" s="324"/>
      <c r="BB177" s="324"/>
      <c r="BC177" s="293"/>
      <c r="BD177" s="319"/>
      <c r="BE177" s="293"/>
      <c r="BF177" s="319"/>
      <c r="BG177" s="293"/>
      <c r="BH177" s="293"/>
      <c r="BI177" s="337">
        <v>115000</v>
      </c>
      <c r="BJ177" s="338">
        <v>60000</v>
      </c>
      <c r="BK177" s="165"/>
    </row>
    <row r="178" spans="1:63" ht="15.75">
      <c r="A178" s="314">
        <v>500686</v>
      </c>
      <c r="B178" s="125" t="s">
        <v>1058</v>
      </c>
      <c r="C178" s="124" t="s">
        <v>1059</v>
      </c>
      <c r="D178" s="126">
        <v>208617</v>
      </c>
      <c r="E178" s="124" t="s">
        <v>1060</v>
      </c>
      <c r="F178" s="124" t="s">
        <v>1061</v>
      </c>
      <c r="G178" s="127" t="s">
        <v>68</v>
      </c>
      <c r="H178" s="126" t="s">
        <v>597</v>
      </c>
      <c r="I178" s="126" t="s">
        <v>598</v>
      </c>
      <c r="J178" s="126" t="s">
        <v>888</v>
      </c>
      <c r="K178" s="128" t="s">
        <v>731</v>
      </c>
      <c r="L178" s="121" t="s">
        <v>652</v>
      </c>
      <c r="M178" s="123" t="s">
        <v>638</v>
      </c>
      <c r="N178" s="129">
        <v>42339</v>
      </c>
      <c r="O178" s="129">
        <v>42551</v>
      </c>
      <c r="P178" s="129">
        <v>42573</v>
      </c>
      <c r="Q178" s="323">
        <v>24990</v>
      </c>
      <c r="R178" s="319"/>
      <c r="S178" s="324">
        <v>24990</v>
      </c>
      <c r="T178" s="324">
        <v>0</v>
      </c>
      <c r="U178" s="324">
        <v>0</v>
      </c>
      <c r="V178" s="324"/>
      <c r="W178" s="324">
        <v>0</v>
      </c>
      <c r="X178" s="324">
        <v>0</v>
      </c>
      <c r="Y178" s="312">
        <v>24990</v>
      </c>
      <c r="Z178" s="325">
        <v>24990</v>
      </c>
      <c r="AA178" s="325">
        <v>0</v>
      </c>
      <c r="AB178" s="326"/>
      <c r="AC178" s="324" t="s">
        <v>602</v>
      </c>
      <c r="AD178" s="324" t="s">
        <v>602</v>
      </c>
      <c r="AE178" s="324" t="s">
        <v>602</v>
      </c>
      <c r="AF178" s="324" t="s">
        <v>602</v>
      </c>
      <c r="AG178" s="324" t="s">
        <v>602</v>
      </c>
      <c r="AH178" s="324"/>
      <c r="AI178" s="312">
        <v>0</v>
      </c>
      <c r="AJ178" s="327">
        <v>0</v>
      </c>
      <c r="AK178" s="327">
        <v>0</v>
      </c>
      <c r="AL178" s="328"/>
      <c r="AM178" s="324">
        <v>0</v>
      </c>
      <c r="AN178" s="324">
        <v>0</v>
      </c>
      <c r="AO178" s="324">
        <v>0</v>
      </c>
      <c r="AP178" s="324">
        <v>0</v>
      </c>
      <c r="AQ178" s="324">
        <v>0</v>
      </c>
      <c r="AR178" s="324">
        <v>0</v>
      </c>
      <c r="AS178" s="293">
        <v>0</v>
      </c>
      <c r="AT178" s="327">
        <v>0</v>
      </c>
      <c r="AU178" s="327">
        <v>0</v>
      </c>
      <c r="AV178" s="328"/>
      <c r="AW178" s="279"/>
      <c r="AX178" s="279"/>
      <c r="AY178" s="279"/>
      <c r="AZ178" s="279"/>
      <c r="BA178" s="279"/>
      <c r="BB178" s="279"/>
      <c r="BC178" s="293"/>
      <c r="BD178" s="319"/>
      <c r="BE178" s="293"/>
      <c r="BF178" s="319"/>
      <c r="BG178" s="293"/>
      <c r="BH178" s="293"/>
      <c r="BI178" s="337">
        <v>24990</v>
      </c>
      <c r="BJ178" s="338">
        <v>0</v>
      </c>
      <c r="BK178" s="126" t="s">
        <v>766</v>
      </c>
    </row>
    <row r="179" spans="1:63" ht="15.75">
      <c r="A179" s="314">
        <v>501339</v>
      </c>
      <c r="B179" s="125" t="s">
        <v>1058</v>
      </c>
      <c r="C179" s="124" t="s">
        <v>1059</v>
      </c>
      <c r="D179" s="126">
        <v>208617</v>
      </c>
      <c r="E179" s="124" t="s">
        <v>1060</v>
      </c>
      <c r="F179" s="124" t="s">
        <v>1061</v>
      </c>
      <c r="G179" s="127" t="s">
        <v>68</v>
      </c>
      <c r="H179" s="126" t="s">
        <v>628</v>
      </c>
      <c r="I179" s="126" t="s">
        <v>598</v>
      </c>
      <c r="J179" s="126" t="s">
        <v>888</v>
      </c>
      <c r="K179" s="128" t="s">
        <v>731</v>
      </c>
      <c r="L179" s="121" t="s">
        <v>515</v>
      </c>
      <c r="M179" s="123" t="s">
        <v>857</v>
      </c>
      <c r="N179" s="129">
        <v>42614</v>
      </c>
      <c r="O179" s="129">
        <v>43951</v>
      </c>
      <c r="P179" s="129">
        <v>44117</v>
      </c>
      <c r="Q179" s="323">
        <v>314180</v>
      </c>
      <c r="R179" s="319"/>
      <c r="S179" s="324">
        <v>81000</v>
      </c>
      <c r="T179" s="324">
        <v>0</v>
      </c>
      <c r="U179" s="324">
        <v>14400</v>
      </c>
      <c r="V179" s="324"/>
      <c r="W179" s="324">
        <v>8000</v>
      </c>
      <c r="X179" s="324">
        <v>0</v>
      </c>
      <c r="Y179" s="312">
        <v>103400</v>
      </c>
      <c r="Z179" s="325">
        <v>103400</v>
      </c>
      <c r="AA179" s="325">
        <v>0</v>
      </c>
      <c r="AB179" s="326"/>
      <c r="AC179" s="324">
        <v>81000</v>
      </c>
      <c r="AD179" s="324">
        <v>0</v>
      </c>
      <c r="AE179" s="324">
        <v>14400</v>
      </c>
      <c r="AF179" s="324">
        <v>10000</v>
      </c>
      <c r="AG179" s="324">
        <v>0</v>
      </c>
      <c r="AH179" s="324"/>
      <c r="AI179" s="312">
        <v>105400</v>
      </c>
      <c r="AJ179" s="327">
        <v>105400</v>
      </c>
      <c r="AK179" s="327">
        <v>0</v>
      </c>
      <c r="AL179" s="328"/>
      <c r="AM179" s="279">
        <v>81000</v>
      </c>
      <c r="AN179" s="279">
        <v>0</v>
      </c>
      <c r="AO179" s="279">
        <v>14380</v>
      </c>
      <c r="AP179" s="279"/>
      <c r="AQ179" s="279">
        <v>10000</v>
      </c>
      <c r="AR179" s="279">
        <v>0</v>
      </c>
      <c r="AS179" s="293">
        <v>105380</v>
      </c>
      <c r="AT179" s="327">
        <v>105380</v>
      </c>
      <c r="AU179" s="327">
        <v>0</v>
      </c>
      <c r="AV179" s="328"/>
      <c r="AW179" s="279"/>
      <c r="AX179" s="279"/>
      <c r="AY179" s="279"/>
      <c r="AZ179" s="279"/>
      <c r="BA179" s="279"/>
      <c r="BB179" s="279"/>
      <c r="BC179" s="293"/>
      <c r="BD179" s="319"/>
      <c r="BE179" s="293"/>
      <c r="BF179" s="319"/>
      <c r="BG179" s="293"/>
      <c r="BH179" s="293"/>
      <c r="BI179" s="337">
        <v>314180</v>
      </c>
      <c r="BJ179" s="338">
        <v>0</v>
      </c>
      <c r="BK179" s="126"/>
    </row>
    <row r="180" spans="1:63" ht="15.75">
      <c r="A180" s="314">
        <v>504322</v>
      </c>
      <c r="B180" s="125" t="s">
        <v>1058</v>
      </c>
      <c r="C180" s="124" t="s">
        <v>1059</v>
      </c>
      <c r="D180" s="126">
        <v>208617</v>
      </c>
      <c r="E180" s="124" t="s">
        <v>1060</v>
      </c>
      <c r="F180" s="124" t="s">
        <v>1061</v>
      </c>
      <c r="G180" s="127" t="s">
        <v>68</v>
      </c>
      <c r="H180" s="126" t="s">
        <v>597</v>
      </c>
      <c r="I180" s="126" t="s">
        <v>598</v>
      </c>
      <c r="J180" s="126" t="s">
        <v>888</v>
      </c>
      <c r="K180" s="128" t="s">
        <v>731</v>
      </c>
      <c r="L180" s="121" t="s">
        <v>517</v>
      </c>
      <c r="M180" s="123" t="s">
        <v>1062</v>
      </c>
      <c r="N180" s="129">
        <v>43221</v>
      </c>
      <c r="O180" s="129">
        <v>44408</v>
      </c>
      <c r="P180" s="129">
        <v>44408</v>
      </c>
      <c r="Q180" s="323">
        <v>145833</v>
      </c>
      <c r="R180" s="319"/>
      <c r="S180" s="324">
        <v>45833</v>
      </c>
      <c r="T180" s="324">
        <v>0</v>
      </c>
      <c r="U180" s="324">
        <v>0</v>
      </c>
      <c r="V180" s="324"/>
      <c r="W180" s="324">
        <v>0</v>
      </c>
      <c r="X180" s="324">
        <v>0</v>
      </c>
      <c r="Y180" s="312">
        <v>45833</v>
      </c>
      <c r="Z180" s="325">
        <v>45833</v>
      </c>
      <c r="AA180" s="325">
        <v>0</v>
      </c>
      <c r="AB180" s="326"/>
      <c r="AC180" s="324">
        <v>50000</v>
      </c>
      <c r="AD180" s="324">
        <v>0</v>
      </c>
      <c r="AE180" s="324">
        <v>0</v>
      </c>
      <c r="AF180" s="324">
        <v>0</v>
      </c>
      <c r="AG180" s="324">
        <v>0</v>
      </c>
      <c r="AH180" s="324"/>
      <c r="AI180" s="312">
        <v>50000</v>
      </c>
      <c r="AJ180" s="327">
        <v>50000</v>
      </c>
      <c r="AK180" s="327">
        <v>0</v>
      </c>
      <c r="AL180" s="328"/>
      <c r="AM180" s="324">
        <v>50000</v>
      </c>
      <c r="AN180" s="324">
        <v>0</v>
      </c>
      <c r="AO180" s="324">
        <v>0</v>
      </c>
      <c r="AP180" s="324">
        <v>0</v>
      </c>
      <c r="AQ180" s="324">
        <v>0</v>
      </c>
      <c r="AR180" s="279">
        <v>0</v>
      </c>
      <c r="AS180" s="293">
        <v>50000</v>
      </c>
      <c r="AT180" s="327">
        <v>50000</v>
      </c>
      <c r="AU180" s="327">
        <v>0</v>
      </c>
      <c r="AV180" s="328"/>
      <c r="AW180" s="279"/>
      <c r="AX180" s="279"/>
      <c r="AY180" s="279"/>
      <c r="AZ180" s="279"/>
      <c r="BA180" s="279"/>
      <c r="BB180" s="279"/>
      <c r="BC180" s="293"/>
      <c r="BD180" s="319"/>
      <c r="BE180" s="293"/>
      <c r="BF180" s="319"/>
      <c r="BG180" s="293"/>
      <c r="BH180" s="293"/>
      <c r="BI180" s="337">
        <v>145833</v>
      </c>
      <c r="BJ180" s="338">
        <v>0</v>
      </c>
      <c r="BK180" s="126" t="s">
        <v>1063</v>
      </c>
    </row>
    <row r="181" spans="1:63" ht="15.75">
      <c r="A181" s="314">
        <v>506459</v>
      </c>
      <c r="B181" s="124" t="s">
        <v>1058</v>
      </c>
      <c r="C181" s="124" t="s">
        <v>1059</v>
      </c>
      <c r="D181" s="126">
        <v>208617</v>
      </c>
      <c r="E181" s="124" t="s">
        <v>1060</v>
      </c>
      <c r="F181" s="124" t="s">
        <v>1061</v>
      </c>
      <c r="G181" s="127" t="s">
        <v>68</v>
      </c>
      <c r="H181" s="126" t="s">
        <v>628</v>
      </c>
      <c r="I181" s="126" t="s">
        <v>598</v>
      </c>
      <c r="J181" s="126" t="s">
        <v>888</v>
      </c>
      <c r="K181" s="128" t="s">
        <v>731</v>
      </c>
      <c r="L181" s="121" t="s">
        <v>19</v>
      </c>
      <c r="M181" s="123" t="s">
        <v>858</v>
      </c>
      <c r="N181" s="129">
        <v>43556</v>
      </c>
      <c r="O181" s="129">
        <v>44377</v>
      </c>
      <c r="P181" s="129">
        <v>44377</v>
      </c>
      <c r="Q181" s="323">
        <v>60000</v>
      </c>
      <c r="R181" s="319"/>
      <c r="S181" s="324">
        <v>14000</v>
      </c>
      <c r="T181" s="324">
        <v>0</v>
      </c>
      <c r="U181" s="324">
        <v>10000</v>
      </c>
      <c r="V181" s="324">
        <v>0</v>
      </c>
      <c r="W181" s="324">
        <v>6000</v>
      </c>
      <c r="X181" s="324">
        <v>0</v>
      </c>
      <c r="Y181" s="312">
        <v>30000</v>
      </c>
      <c r="Z181" s="325">
        <v>30000</v>
      </c>
      <c r="AA181" s="325">
        <v>0</v>
      </c>
      <c r="AB181" s="326"/>
      <c r="AC181" s="324">
        <v>14000</v>
      </c>
      <c r="AD181" s="324">
        <v>0</v>
      </c>
      <c r="AE181" s="324">
        <v>10000</v>
      </c>
      <c r="AF181" s="324">
        <v>0</v>
      </c>
      <c r="AG181" s="324">
        <v>6000</v>
      </c>
      <c r="AH181" s="324">
        <v>0</v>
      </c>
      <c r="AI181" s="312">
        <v>30000</v>
      </c>
      <c r="AJ181" s="327">
        <v>30000</v>
      </c>
      <c r="AK181" s="327">
        <v>0</v>
      </c>
      <c r="AL181" s="339"/>
      <c r="AM181" s="324">
        <v>0</v>
      </c>
      <c r="AN181" s="324">
        <v>0</v>
      </c>
      <c r="AO181" s="324">
        <v>0</v>
      </c>
      <c r="AP181" s="324">
        <v>0</v>
      </c>
      <c r="AQ181" s="324">
        <v>0</v>
      </c>
      <c r="AR181" s="324">
        <v>0</v>
      </c>
      <c r="AS181" s="293"/>
      <c r="AT181" s="327">
        <v>0</v>
      </c>
      <c r="AU181" s="327">
        <v>0</v>
      </c>
      <c r="AV181" s="328"/>
      <c r="AW181" s="279"/>
      <c r="AX181" s="279"/>
      <c r="AY181" s="279"/>
      <c r="AZ181" s="279"/>
      <c r="BA181" s="279"/>
      <c r="BB181" s="279"/>
      <c r="BC181" s="293"/>
      <c r="BD181" s="319"/>
      <c r="BE181" s="293"/>
      <c r="BF181" s="319"/>
      <c r="BG181" s="293"/>
      <c r="BH181" s="293"/>
      <c r="BI181" s="337">
        <v>60000</v>
      </c>
      <c r="BJ181" s="338">
        <v>0</v>
      </c>
      <c r="BK181" s="282" t="s">
        <v>821</v>
      </c>
    </row>
    <row r="182" spans="1:63" ht="15.75">
      <c r="A182" s="314">
        <v>500674</v>
      </c>
      <c r="B182" s="125" t="s">
        <v>1064</v>
      </c>
      <c r="C182" s="124" t="s">
        <v>1065</v>
      </c>
      <c r="D182" s="126">
        <v>208618</v>
      </c>
      <c r="E182" s="124" t="s">
        <v>1066</v>
      </c>
      <c r="F182" s="124" t="s">
        <v>1067</v>
      </c>
      <c r="G182" s="127" t="s">
        <v>68</v>
      </c>
      <c r="H182" s="126" t="s">
        <v>597</v>
      </c>
      <c r="I182" s="126" t="s">
        <v>598</v>
      </c>
      <c r="J182" s="126" t="s">
        <v>672</v>
      </c>
      <c r="K182" s="128" t="s">
        <v>673</v>
      </c>
      <c r="L182" s="121" t="s">
        <v>637</v>
      </c>
      <c r="M182" s="123" t="s">
        <v>638</v>
      </c>
      <c r="N182" s="129">
        <v>42248</v>
      </c>
      <c r="O182" s="129">
        <v>42643</v>
      </c>
      <c r="P182" s="129">
        <v>42643</v>
      </c>
      <c r="Q182" s="323">
        <v>99138</v>
      </c>
      <c r="R182" s="324">
        <v>99138</v>
      </c>
      <c r="S182" s="324"/>
      <c r="T182" s="324">
        <v>0</v>
      </c>
      <c r="U182" s="324">
        <v>0</v>
      </c>
      <c r="V182" s="324"/>
      <c r="W182" s="324">
        <v>0</v>
      </c>
      <c r="X182" s="324">
        <v>0</v>
      </c>
      <c r="Y182" s="312">
        <v>99138</v>
      </c>
      <c r="Z182" s="325">
        <v>99138</v>
      </c>
      <c r="AA182" s="325">
        <v>0</v>
      </c>
      <c r="AB182" s="326"/>
      <c r="AC182" s="324" t="s">
        <v>602</v>
      </c>
      <c r="AD182" s="324" t="s">
        <v>602</v>
      </c>
      <c r="AE182" s="324" t="s">
        <v>602</v>
      </c>
      <c r="AF182" s="324" t="s">
        <v>602</v>
      </c>
      <c r="AG182" s="324" t="s">
        <v>602</v>
      </c>
      <c r="AH182" s="324"/>
      <c r="AI182" s="312">
        <v>0</v>
      </c>
      <c r="AJ182" s="327">
        <v>0</v>
      </c>
      <c r="AK182" s="327">
        <v>0</v>
      </c>
      <c r="AL182" s="328"/>
      <c r="AM182" s="324">
        <v>0</v>
      </c>
      <c r="AN182" s="324">
        <v>0</v>
      </c>
      <c r="AO182" s="324">
        <v>0</v>
      </c>
      <c r="AP182" s="324">
        <v>0</v>
      </c>
      <c r="AQ182" s="324">
        <v>0</v>
      </c>
      <c r="AR182" s="324">
        <v>0</v>
      </c>
      <c r="AS182" s="293">
        <v>0</v>
      </c>
      <c r="AT182" s="327">
        <v>0</v>
      </c>
      <c r="AU182" s="327">
        <v>0</v>
      </c>
      <c r="AV182" s="328"/>
      <c r="AW182" s="324" t="s">
        <v>602</v>
      </c>
      <c r="AX182" s="324" t="s">
        <v>602</v>
      </c>
      <c r="AY182" s="324" t="s">
        <v>602</v>
      </c>
      <c r="AZ182" s="324" t="s">
        <v>602</v>
      </c>
      <c r="BA182" s="324"/>
      <c r="BB182" s="324" t="s">
        <v>602</v>
      </c>
      <c r="BC182" s="293"/>
      <c r="BD182" s="319"/>
      <c r="BE182" s="293"/>
      <c r="BF182" s="319"/>
      <c r="BG182" s="293"/>
      <c r="BH182" s="293"/>
      <c r="BI182" s="337">
        <v>99138</v>
      </c>
      <c r="BJ182" s="338">
        <v>0</v>
      </c>
      <c r="BK182" s="126"/>
    </row>
    <row r="183" spans="1:63" ht="15.75">
      <c r="A183" s="314">
        <v>501342</v>
      </c>
      <c r="B183" s="125" t="s">
        <v>1064</v>
      </c>
      <c r="C183" s="124" t="s">
        <v>1065</v>
      </c>
      <c r="D183" s="126">
        <v>208618</v>
      </c>
      <c r="E183" s="124" t="s">
        <v>1066</v>
      </c>
      <c r="F183" s="124" t="s">
        <v>1067</v>
      </c>
      <c r="G183" s="127" t="s">
        <v>68</v>
      </c>
      <c r="H183" s="126" t="s">
        <v>628</v>
      </c>
      <c r="I183" s="126" t="s">
        <v>598</v>
      </c>
      <c r="J183" s="126" t="s">
        <v>672</v>
      </c>
      <c r="K183" s="128" t="s">
        <v>673</v>
      </c>
      <c r="L183" s="121" t="s">
        <v>515</v>
      </c>
      <c r="M183" s="123" t="s">
        <v>767</v>
      </c>
      <c r="N183" s="129">
        <v>42614</v>
      </c>
      <c r="O183" s="129">
        <v>44286</v>
      </c>
      <c r="P183" s="129">
        <v>44286</v>
      </c>
      <c r="Q183" s="323">
        <v>326853</v>
      </c>
      <c r="R183" s="319"/>
      <c r="S183" s="324">
        <v>66124</v>
      </c>
      <c r="T183" s="324">
        <v>0</v>
      </c>
      <c r="U183" s="324">
        <v>35260</v>
      </c>
      <c r="V183" s="324"/>
      <c r="W183" s="324">
        <v>7567</v>
      </c>
      <c r="X183" s="324">
        <v>0</v>
      </c>
      <c r="Y183" s="312">
        <v>108951</v>
      </c>
      <c r="Z183" s="325">
        <v>108951</v>
      </c>
      <c r="AA183" s="325">
        <v>0</v>
      </c>
      <c r="AB183" s="326"/>
      <c r="AC183" s="324">
        <v>66124</v>
      </c>
      <c r="AD183" s="324">
        <v>0</v>
      </c>
      <c r="AE183" s="324">
        <v>35260</v>
      </c>
      <c r="AF183" s="324">
        <v>7567</v>
      </c>
      <c r="AG183" s="324">
        <v>0</v>
      </c>
      <c r="AH183" s="324"/>
      <c r="AI183" s="312">
        <v>108951</v>
      </c>
      <c r="AJ183" s="327">
        <v>108951</v>
      </c>
      <c r="AK183" s="327">
        <v>0</v>
      </c>
      <c r="AL183" s="328"/>
      <c r="AM183" s="279">
        <v>66124</v>
      </c>
      <c r="AN183" s="279">
        <v>0</v>
      </c>
      <c r="AO183" s="279">
        <v>35260</v>
      </c>
      <c r="AP183" s="279"/>
      <c r="AQ183" s="279">
        <v>7567</v>
      </c>
      <c r="AR183" s="279">
        <v>0</v>
      </c>
      <c r="AS183" s="293">
        <v>108951</v>
      </c>
      <c r="AT183" s="327">
        <v>108951</v>
      </c>
      <c r="AU183" s="327">
        <v>0</v>
      </c>
      <c r="AV183" s="328"/>
      <c r="AW183" s="279"/>
      <c r="AX183" s="279"/>
      <c r="AY183" s="279"/>
      <c r="AZ183" s="279"/>
      <c r="BA183" s="279"/>
      <c r="BB183" s="279"/>
      <c r="BC183" s="293"/>
      <c r="BD183" s="319"/>
      <c r="BE183" s="293"/>
      <c r="BF183" s="319"/>
      <c r="BG183" s="293"/>
      <c r="BH183" s="293"/>
      <c r="BI183" s="337">
        <v>326853</v>
      </c>
      <c r="BJ183" s="338">
        <v>0</v>
      </c>
      <c r="BK183" s="126"/>
    </row>
    <row r="184" spans="1:63" ht="15.75">
      <c r="A184" s="314">
        <v>502316</v>
      </c>
      <c r="B184" s="125" t="s">
        <v>1064</v>
      </c>
      <c r="C184" s="124" t="s">
        <v>1065</v>
      </c>
      <c r="D184" s="126">
        <v>208618</v>
      </c>
      <c r="E184" s="124" t="s">
        <v>1066</v>
      </c>
      <c r="F184" s="124" t="s">
        <v>1067</v>
      </c>
      <c r="G184" s="127" t="s">
        <v>68</v>
      </c>
      <c r="H184" s="126" t="s">
        <v>628</v>
      </c>
      <c r="I184" s="126" t="s">
        <v>598</v>
      </c>
      <c r="J184" s="126" t="s">
        <v>672</v>
      </c>
      <c r="K184" s="128" t="s">
        <v>673</v>
      </c>
      <c r="L184" s="121" t="s">
        <v>652</v>
      </c>
      <c r="M184" s="123" t="s">
        <v>1023</v>
      </c>
      <c r="N184" s="129">
        <v>42826</v>
      </c>
      <c r="O184" s="129">
        <v>43190</v>
      </c>
      <c r="P184" s="129">
        <v>43190</v>
      </c>
      <c r="Q184" s="323">
        <v>8200</v>
      </c>
      <c r="R184" s="319"/>
      <c r="S184" s="324">
        <v>0</v>
      </c>
      <c r="T184" s="324">
        <v>2400</v>
      </c>
      <c r="U184" s="324">
        <v>5800</v>
      </c>
      <c r="V184" s="324"/>
      <c r="W184" s="324">
        <v>0</v>
      </c>
      <c r="X184" s="324">
        <v>0</v>
      </c>
      <c r="Y184" s="312">
        <v>8200</v>
      </c>
      <c r="Z184" s="325">
        <v>8200</v>
      </c>
      <c r="AA184" s="325">
        <v>0</v>
      </c>
      <c r="AB184" s="326"/>
      <c r="AC184" s="324" t="s">
        <v>602</v>
      </c>
      <c r="AD184" s="324" t="s">
        <v>602</v>
      </c>
      <c r="AE184" s="324" t="s">
        <v>602</v>
      </c>
      <c r="AF184" s="324" t="s">
        <v>602</v>
      </c>
      <c r="AG184" s="324" t="s">
        <v>602</v>
      </c>
      <c r="AH184" s="324"/>
      <c r="AI184" s="312">
        <v>0</v>
      </c>
      <c r="AJ184" s="327">
        <v>0</v>
      </c>
      <c r="AK184" s="327">
        <v>0</v>
      </c>
      <c r="AL184" s="328"/>
      <c r="AM184" s="324">
        <v>0</v>
      </c>
      <c r="AN184" s="324">
        <v>0</v>
      </c>
      <c r="AO184" s="324">
        <v>0</v>
      </c>
      <c r="AP184" s="324">
        <v>0</v>
      </c>
      <c r="AQ184" s="324">
        <v>0</v>
      </c>
      <c r="AR184" s="324">
        <v>0</v>
      </c>
      <c r="AS184" s="293">
        <v>0</v>
      </c>
      <c r="AT184" s="327">
        <v>0</v>
      </c>
      <c r="AU184" s="327">
        <v>0</v>
      </c>
      <c r="AV184" s="328"/>
      <c r="AW184" s="279"/>
      <c r="AX184" s="279"/>
      <c r="AY184" s="279"/>
      <c r="AZ184" s="279"/>
      <c r="BA184" s="279"/>
      <c r="BB184" s="279"/>
      <c r="BC184" s="293"/>
      <c r="BD184" s="319"/>
      <c r="BE184" s="293"/>
      <c r="BF184" s="319"/>
      <c r="BG184" s="293"/>
      <c r="BH184" s="293"/>
      <c r="BI184" s="337">
        <v>8200</v>
      </c>
      <c r="BJ184" s="338">
        <v>0</v>
      </c>
      <c r="BK184" s="126" t="s">
        <v>1068</v>
      </c>
    </row>
    <row r="185" spans="1:63" ht="15.75">
      <c r="A185" s="314">
        <v>501348</v>
      </c>
      <c r="B185" s="125" t="s">
        <v>1069</v>
      </c>
      <c r="C185" s="124" t="s">
        <v>1070</v>
      </c>
      <c r="D185" s="126">
        <v>208620</v>
      </c>
      <c r="E185" s="121" t="s">
        <v>1071</v>
      </c>
      <c r="F185" s="121" t="s">
        <v>1072</v>
      </c>
      <c r="G185" s="127" t="s">
        <v>82</v>
      </c>
      <c r="H185" s="123" t="s">
        <v>628</v>
      </c>
      <c r="I185" s="126" t="s">
        <v>598</v>
      </c>
      <c r="J185" s="126" t="s">
        <v>888</v>
      </c>
      <c r="K185" s="128" t="s">
        <v>731</v>
      </c>
      <c r="L185" s="121" t="s">
        <v>515</v>
      </c>
      <c r="M185" s="143" t="s">
        <v>934</v>
      </c>
      <c r="N185" s="129">
        <v>42614</v>
      </c>
      <c r="O185" s="129">
        <v>44286</v>
      </c>
      <c r="P185" s="129">
        <v>44334</v>
      </c>
      <c r="Q185" s="330">
        <v>130500</v>
      </c>
      <c r="R185" s="331"/>
      <c r="S185" s="324">
        <v>21000</v>
      </c>
      <c r="T185" s="324">
        <v>0</v>
      </c>
      <c r="U185" s="324">
        <v>22500</v>
      </c>
      <c r="V185" s="324"/>
      <c r="W185" s="324">
        <v>0</v>
      </c>
      <c r="X185" s="324"/>
      <c r="Y185" s="312">
        <v>43500</v>
      </c>
      <c r="Z185" s="325">
        <v>43500</v>
      </c>
      <c r="AA185" s="325">
        <v>0</v>
      </c>
      <c r="AB185" s="326"/>
      <c r="AC185" s="324">
        <v>21000</v>
      </c>
      <c r="AD185" s="324">
        <v>0</v>
      </c>
      <c r="AE185" s="324">
        <v>22500</v>
      </c>
      <c r="AF185" s="324">
        <v>0</v>
      </c>
      <c r="AG185" s="324">
        <v>0</v>
      </c>
      <c r="AH185" s="324"/>
      <c r="AI185" s="312">
        <v>43500</v>
      </c>
      <c r="AJ185" s="327">
        <v>43500</v>
      </c>
      <c r="AK185" s="327">
        <v>0</v>
      </c>
      <c r="AL185" s="328"/>
      <c r="AM185" s="279">
        <v>21000</v>
      </c>
      <c r="AN185" s="279">
        <v>0</v>
      </c>
      <c r="AO185" s="279">
        <v>22500</v>
      </c>
      <c r="AP185" s="279"/>
      <c r="AQ185" s="279">
        <v>0</v>
      </c>
      <c r="AR185" s="279">
        <v>0</v>
      </c>
      <c r="AS185" s="293">
        <v>43500</v>
      </c>
      <c r="AT185" s="327">
        <v>43500</v>
      </c>
      <c r="AU185" s="327">
        <v>0</v>
      </c>
      <c r="AV185" s="328"/>
      <c r="AW185" s="279"/>
      <c r="AX185" s="279"/>
      <c r="AY185" s="279"/>
      <c r="AZ185" s="279"/>
      <c r="BA185" s="279"/>
      <c r="BB185" s="279"/>
      <c r="BC185" s="293"/>
      <c r="BD185" s="319"/>
      <c r="BE185" s="293"/>
      <c r="BF185" s="319"/>
      <c r="BG185" s="293"/>
      <c r="BH185" s="293"/>
      <c r="BI185" s="337">
        <v>130500</v>
      </c>
      <c r="BJ185" s="338">
        <v>0</v>
      </c>
      <c r="BK185" s="280"/>
    </row>
    <row r="186" spans="1:63" ht="15.75">
      <c r="A186" s="314">
        <v>502531</v>
      </c>
      <c r="B186" s="125" t="s">
        <v>1069</v>
      </c>
      <c r="C186" s="124" t="s">
        <v>1070</v>
      </c>
      <c r="D186" s="126">
        <v>208620</v>
      </c>
      <c r="E186" s="124" t="s">
        <v>1071</v>
      </c>
      <c r="F186" s="124" t="s">
        <v>1072</v>
      </c>
      <c r="G186" s="127" t="s">
        <v>82</v>
      </c>
      <c r="H186" s="126" t="s">
        <v>597</v>
      </c>
      <c r="I186" s="126" t="s">
        <v>598</v>
      </c>
      <c r="J186" s="126" t="s">
        <v>888</v>
      </c>
      <c r="K186" s="128" t="s">
        <v>731</v>
      </c>
      <c r="L186" s="121" t="s">
        <v>517</v>
      </c>
      <c r="M186" s="123" t="s">
        <v>1073</v>
      </c>
      <c r="N186" s="129">
        <v>42826</v>
      </c>
      <c r="O186" s="129">
        <v>43921</v>
      </c>
      <c r="P186" s="129">
        <v>43921</v>
      </c>
      <c r="Q186" s="323">
        <v>150000</v>
      </c>
      <c r="R186" s="319"/>
      <c r="S186" s="324">
        <v>50000</v>
      </c>
      <c r="T186" s="324">
        <v>0</v>
      </c>
      <c r="U186" s="324">
        <v>0</v>
      </c>
      <c r="V186" s="324"/>
      <c r="W186" s="324">
        <v>0</v>
      </c>
      <c r="X186" s="324">
        <v>0</v>
      </c>
      <c r="Y186" s="312">
        <v>50000</v>
      </c>
      <c r="Z186" s="325">
        <v>50000</v>
      </c>
      <c r="AA186" s="325">
        <v>0</v>
      </c>
      <c r="AB186" s="326"/>
      <c r="AC186" s="324">
        <v>50000</v>
      </c>
      <c r="AD186" s="324">
        <v>0</v>
      </c>
      <c r="AE186" s="324">
        <v>0</v>
      </c>
      <c r="AF186" s="324">
        <v>0</v>
      </c>
      <c r="AG186" s="324">
        <v>0</v>
      </c>
      <c r="AH186" s="324"/>
      <c r="AI186" s="312">
        <v>50000</v>
      </c>
      <c r="AJ186" s="327">
        <v>50000</v>
      </c>
      <c r="AK186" s="327">
        <v>0</v>
      </c>
      <c r="AL186" s="328"/>
      <c r="AM186" s="324">
        <v>50000</v>
      </c>
      <c r="AN186" s="324">
        <v>0</v>
      </c>
      <c r="AO186" s="324">
        <v>0</v>
      </c>
      <c r="AP186" s="324">
        <v>0</v>
      </c>
      <c r="AQ186" s="324">
        <v>0</v>
      </c>
      <c r="AR186" s="279">
        <v>0</v>
      </c>
      <c r="AS186" s="293">
        <v>50000</v>
      </c>
      <c r="AT186" s="327">
        <v>50000</v>
      </c>
      <c r="AU186" s="327">
        <v>0</v>
      </c>
      <c r="AV186" s="328"/>
      <c r="AW186" s="279" t="s">
        <v>602</v>
      </c>
      <c r="AX186" s="279" t="s">
        <v>602</v>
      </c>
      <c r="AY186" s="279" t="s">
        <v>602</v>
      </c>
      <c r="AZ186" s="279" t="s">
        <v>602</v>
      </c>
      <c r="BA186" s="279"/>
      <c r="BB186" s="279" t="s">
        <v>602</v>
      </c>
      <c r="BC186" s="293">
        <v>0</v>
      </c>
      <c r="BD186" s="319"/>
      <c r="BE186" s="293"/>
      <c r="BF186" s="319"/>
      <c r="BG186" s="293"/>
      <c r="BH186" s="293"/>
      <c r="BI186" s="337">
        <v>150000</v>
      </c>
      <c r="BJ186" s="338">
        <v>0</v>
      </c>
      <c r="BK186" s="126" t="s">
        <v>789</v>
      </c>
    </row>
    <row r="187" spans="1:63" ht="15.75">
      <c r="A187" s="380">
        <v>506450</v>
      </c>
      <c r="B187" s="125" t="s">
        <v>1069</v>
      </c>
      <c r="C187" s="124" t="s">
        <v>1070</v>
      </c>
      <c r="D187" s="126">
        <v>208620</v>
      </c>
      <c r="E187" s="124" t="s">
        <v>1071</v>
      </c>
      <c r="F187" s="124" t="s">
        <v>1072</v>
      </c>
      <c r="G187" s="127" t="s">
        <v>82</v>
      </c>
      <c r="H187" s="126" t="s">
        <v>597</v>
      </c>
      <c r="I187" s="126" t="s">
        <v>598</v>
      </c>
      <c r="J187" s="126" t="s">
        <v>888</v>
      </c>
      <c r="K187" s="128" t="s">
        <v>731</v>
      </c>
      <c r="L187" s="121" t="s">
        <v>517</v>
      </c>
      <c r="M187" s="123" t="s">
        <v>1074</v>
      </c>
      <c r="N187" s="129">
        <v>43556</v>
      </c>
      <c r="O187" s="129">
        <v>44651</v>
      </c>
      <c r="P187" s="129">
        <v>44651</v>
      </c>
      <c r="Q187" s="323">
        <v>150000</v>
      </c>
      <c r="R187" s="319"/>
      <c r="S187" s="324">
        <v>50000</v>
      </c>
      <c r="T187" s="324">
        <v>0</v>
      </c>
      <c r="U187" s="324">
        <v>0</v>
      </c>
      <c r="V187" s="324"/>
      <c r="W187" s="324">
        <v>0</v>
      </c>
      <c r="X187" s="324">
        <v>0</v>
      </c>
      <c r="Y187" s="312">
        <v>50000</v>
      </c>
      <c r="Z187" s="325">
        <v>50000</v>
      </c>
      <c r="AA187" s="325">
        <v>0</v>
      </c>
      <c r="AB187" s="326"/>
      <c r="AC187" s="324">
        <v>50000</v>
      </c>
      <c r="AD187" s="324"/>
      <c r="AE187" s="324"/>
      <c r="AF187" s="324"/>
      <c r="AG187" s="324"/>
      <c r="AH187" s="324"/>
      <c r="AI187" s="312">
        <v>50000</v>
      </c>
      <c r="AJ187" s="327">
        <v>50000</v>
      </c>
      <c r="AK187" s="327">
        <v>0</v>
      </c>
      <c r="AL187" s="328"/>
      <c r="AM187" s="279">
        <v>50000</v>
      </c>
      <c r="AN187" s="279"/>
      <c r="AO187" s="279"/>
      <c r="AP187" s="279"/>
      <c r="AQ187" s="279"/>
      <c r="AR187" s="279"/>
      <c r="AS187" s="293">
        <v>50000</v>
      </c>
      <c r="AT187" s="327">
        <v>50000</v>
      </c>
      <c r="AU187" s="327">
        <v>0</v>
      </c>
      <c r="AV187" s="328"/>
      <c r="AW187" s="279"/>
      <c r="AX187" s="279"/>
      <c r="AY187" s="279"/>
      <c r="AZ187" s="279"/>
      <c r="BA187" s="279"/>
      <c r="BB187" s="279"/>
      <c r="BC187" s="293"/>
      <c r="BD187" s="319"/>
      <c r="BE187" s="293"/>
      <c r="BF187" s="319"/>
      <c r="BG187" s="293"/>
      <c r="BH187" s="293"/>
      <c r="BI187" s="337">
        <v>150000</v>
      </c>
      <c r="BJ187" s="338">
        <v>0</v>
      </c>
      <c r="BK187" s="126"/>
    </row>
    <row r="188" spans="1:63" ht="15.75">
      <c r="A188" s="314">
        <v>500786</v>
      </c>
      <c r="B188" s="125" t="s">
        <v>1075</v>
      </c>
      <c r="C188" s="124" t="s">
        <v>233</v>
      </c>
      <c r="D188" s="126">
        <v>208625</v>
      </c>
      <c r="E188" s="121" t="s">
        <v>1076</v>
      </c>
      <c r="F188" s="121" t="s">
        <v>1077</v>
      </c>
      <c r="G188" s="127" t="s">
        <v>53</v>
      </c>
      <c r="H188" s="123" t="s">
        <v>597</v>
      </c>
      <c r="I188" s="126" t="s">
        <v>598</v>
      </c>
      <c r="J188" s="126" t="s">
        <v>659</v>
      </c>
      <c r="K188" s="128" t="s">
        <v>660</v>
      </c>
      <c r="L188" s="121" t="s">
        <v>652</v>
      </c>
      <c r="M188" s="123" t="s">
        <v>638</v>
      </c>
      <c r="N188" s="129">
        <v>42339</v>
      </c>
      <c r="O188" s="129">
        <v>42580</v>
      </c>
      <c r="P188" s="129">
        <v>43921</v>
      </c>
      <c r="Q188" s="330">
        <v>25000</v>
      </c>
      <c r="R188" s="331"/>
      <c r="S188" s="324">
        <v>25000</v>
      </c>
      <c r="T188" s="324">
        <v>0</v>
      </c>
      <c r="U188" s="324">
        <v>0</v>
      </c>
      <c r="V188" s="324"/>
      <c r="W188" s="324">
        <v>0</v>
      </c>
      <c r="X188" s="324">
        <v>0</v>
      </c>
      <c r="Y188" s="312">
        <v>25000</v>
      </c>
      <c r="Z188" s="325">
        <v>25000</v>
      </c>
      <c r="AA188" s="325">
        <v>0</v>
      </c>
      <c r="AB188" s="326"/>
      <c r="AC188" s="324" t="s">
        <v>602</v>
      </c>
      <c r="AD188" s="324" t="s">
        <v>602</v>
      </c>
      <c r="AE188" s="324" t="s">
        <v>602</v>
      </c>
      <c r="AF188" s="324" t="s">
        <v>602</v>
      </c>
      <c r="AG188" s="324" t="s">
        <v>602</v>
      </c>
      <c r="AH188" s="324"/>
      <c r="AI188" s="312">
        <v>0</v>
      </c>
      <c r="AJ188" s="327">
        <v>0</v>
      </c>
      <c r="AK188" s="327">
        <v>0</v>
      </c>
      <c r="AL188" s="328"/>
      <c r="AM188" s="324">
        <v>0</v>
      </c>
      <c r="AN188" s="324">
        <v>0</v>
      </c>
      <c r="AO188" s="324">
        <v>0</v>
      </c>
      <c r="AP188" s="324">
        <v>0</v>
      </c>
      <c r="AQ188" s="324">
        <v>0</v>
      </c>
      <c r="AR188" s="324">
        <v>0</v>
      </c>
      <c r="AS188" s="293">
        <v>0</v>
      </c>
      <c r="AT188" s="327">
        <v>0</v>
      </c>
      <c r="AU188" s="327">
        <v>0</v>
      </c>
      <c r="AV188" s="328"/>
      <c r="AW188" s="279"/>
      <c r="AX188" s="279"/>
      <c r="AY188" s="279"/>
      <c r="AZ188" s="279"/>
      <c r="BA188" s="279"/>
      <c r="BB188" s="279"/>
      <c r="BC188" s="293"/>
      <c r="BD188" s="319"/>
      <c r="BE188" s="293"/>
      <c r="BF188" s="319"/>
      <c r="BG188" s="293"/>
      <c r="BH188" s="293"/>
      <c r="BI188" s="337">
        <v>25000</v>
      </c>
      <c r="BJ188" s="338">
        <v>0</v>
      </c>
      <c r="BK188" s="126" t="s">
        <v>766</v>
      </c>
    </row>
    <row r="189" spans="1:63" ht="15.75">
      <c r="A189" s="314">
        <v>502320</v>
      </c>
      <c r="B189" s="125" t="s">
        <v>1075</v>
      </c>
      <c r="C189" s="124" t="s">
        <v>233</v>
      </c>
      <c r="D189" s="126">
        <v>208625</v>
      </c>
      <c r="E189" s="121" t="s">
        <v>1076</v>
      </c>
      <c r="F189" s="121" t="s">
        <v>1077</v>
      </c>
      <c r="G189" s="127" t="s">
        <v>53</v>
      </c>
      <c r="H189" s="123" t="s">
        <v>597</v>
      </c>
      <c r="I189" s="126" t="s">
        <v>598</v>
      </c>
      <c r="J189" s="126" t="s">
        <v>659</v>
      </c>
      <c r="K189" s="128" t="s">
        <v>660</v>
      </c>
      <c r="L189" s="121" t="s">
        <v>1034</v>
      </c>
      <c r="M189" s="123" t="s">
        <v>1078</v>
      </c>
      <c r="N189" s="129">
        <v>42826</v>
      </c>
      <c r="O189" s="129">
        <v>43251</v>
      </c>
      <c r="P189" s="129">
        <v>43251</v>
      </c>
      <c r="Q189" s="330">
        <v>29166.67</v>
      </c>
      <c r="R189" s="331"/>
      <c r="S189" s="324">
        <v>25000</v>
      </c>
      <c r="T189" s="324">
        <v>0</v>
      </c>
      <c r="U189" s="324">
        <v>0</v>
      </c>
      <c r="V189" s="324"/>
      <c r="W189" s="324">
        <v>0</v>
      </c>
      <c r="X189" s="324">
        <v>0</v>
      </c>
      <c r="Y189" s="312">
        <v>25000</v>
      </c>
      <c r="Z189" s="325">
        <v>25000</v>
      </c>
      <c r="AA189" s="325">
        <v>0</v>
      </c>
      <c r="AB189" s="326"/>
      <c r="AC189" s="324">
        <v>4166.67</v>
      </c>
      <c r="AD189" s="324">
        <v>0</v>
      </c>
      <c r="AE189" s="324">
        <v>0</v>
      </c>
      <c r="AF189" s="324">
        <v>0</v>
      </c>
      <c r="AG189" s="324">
        <v>0</v>
      </c>
      <c r="AH189" s="324"/>
      <c r="AI189" s="312">
        <v>4166.6699999999983</v>
      </c>
      <c r="AJ189" s="327">
        <v>4166.67</v>
      </c>
      <c r="AK189" s="327">
        <v>0</v>
      </c>
      <c r="AL189" s="328"/>
      <c r="AM189" s="324">
        <v>0</v>
      </c>
      <c r="AN189" s="324">
        <v>0</v>
      </c>
      <c r="AO189" s="324">
        <v>0</v>
      </c>
      <c r="AP189" s="324">
        <v>0</v>
      </c>
      <c r="AQ189" s="324">
        <v>0</v>
      </c>
      <c r="AR189" s="324">
        <v>0</v>
      </c>
      <c r="AS189" s="293">
        <v>0</v>
      </c>
      <c r="AT189" s="327">
        <v>0</v>
      </c>
      <c r="AU189" s="327">
        <v>0</v>
      </c>
      <c r="AV189" s="328"/>
      <c r="AW189" s="279" t="s">
        <v>602</v>
      </c>
      <c r="AX189" s="279" t="s">
        <v>602</v>
      </c>
      <c r="AY189" s="279" t="s">
        <v>602</v>
      </c>
      <c r="AZ189" s="279" t="s">
        <v>602</v>
      </c>
      <c r="BA189" s="279"/>
      <c r="BB189" s="279" t="s">
        <v>602</v>
      </c>
      <c r="BC189" s="293"/>
      <c r="BD189" s="319"/>
      <c r="BE189" s="293"/>
      <c r="BF189" s="319"/>
      <c r="BG189" s="293"/>
      <c r="BH189" s="293"/>
      <c r="BI189" s="337">
        <v>29166.67</v>
      </c>
      <c r="BJ189" s="338">
        <v>0</v>
      </c>
      <c r="BK189" s="280" t="s">
        <v>1079</v>
      </c>
    </row>
    <row r="190" spans="1:63" ht="15.75">
      <c r="A190" s="314">
        <v>507637</v>
      </c>
      <c r="B190" s="125" t="s">
        <v>1075</v>
      </c>
      <c r="C190" s="124" t="s">
        <v>233</v>
      </c>
      <c r="D190" s="126">
        <v>208625</v>
      </c>
      <c r="E190" s="124" t="s">
        <v>1076</v>
      </c>
      <c r="F190" s="124" t="s">
        <v>1077</v>
      </c>
      <c r="G190" s="127" t="s">
        <v>53</v>
      </c>
      <c r="H190" s="126" t="s">
        <v>628</v>
      </c>
      <c r="I190" s="126" t="s">
        <v>598</v>
      </c>
      <c r="J190" s="126" t="s">
        <v>659</v>
      </c>
      <c r="K190" s="128" t="s">
        <v>660</v>
      </c>
      <c r="L190" s="121" t="s">
        <v>519</v>
      </c>
      <c r="M190" s="123" t="s">
        <v>736</v>
      </c>
      <c r="N190" s="129">
        <v>43709</v>
      </c>
      <c r="O190" s="129">
        <v>44895</v>
      </c>
      <c r="P190" s="129">
        <v>44895</v>
      </c>
      <c r="Q190" s="323">
        <v>191250</v>
      </c>
      <c r="R190" s="319"/>
      <c r="S190" s="324">
        <v>25005</v>
      </c>
      <c r="T190" s="324"/>
      <c r="U190" s="324">
        <v>38745</v>
      </c>
      <c r="V190" s="324"/>
      <c r="W190" s="324"/>
      <c r="X190" s="324"/>
      <c r="Y190" s="312">
        <v>63750</v>
      </c>
      <c r="Z190" s="325">
        <v>63750</v>
      </c>
      <c r="AA190" s="325">
        <v>0</v>
      </c>
      <c r="AB190" s="326"/>
      <c r="AC190" s="324">
        <v>39285</v>
      </c>
      <c r="AD190" s="324">
        <v>0</v>
      </c>
      <c r="AE190" s="324">
        <v>24465</v>
      </c>
      <c r="AF190" s="324"/>
      <c r="AG190" s="324"/>
      <c r="AH190" s="324"/>
      <c r="AI190" s="312">
        <v>63750</v>
      </c>
      <c r="AJ190" s="327">
        <v>63750</v>
      </c>
      <c r="AK190" s="327">
        <v>0</v>
      </c>
      <c r="AL190" s="328"/>
      <c r="AM190" s="324">
        <v>39285</v>
      </c>
      <c r="AN190" s="324">
        <v>0</v>
      </c>
      <c r="AO190" s="324">
        <v>24465</v>
      </c>
      <c r="AP190" s="279"/>
      <c r="AQ190" s="279"/>
      <c r="AR190" s="279"/>
      <c r="AS190" s="293">
        <v>63750</v>
      </c>
      <c r="AT190" s="327">
        <v>63750</v>
      </c>
      <c r="AU190" s="327">
        <v>0</v>
      </c>
      <c r="AV190" s="328"/>
      <c r="AW190" s="279"/>
      <c r="AX190" s="279"/>
      <c r="AY190" s="279"/>
      <c r="AZ190" s="279"/>
      <c r="BA190" s="279"/>
      <c r="BB190" s="279"/>
      <c r="BC190" s="293"/>
      <c r="BD190" s="319"/>
      <c r="BE190" s="293"/>
      <c r="BF190" s="319"/>
      <c r="BG190" s="293"/>
      <c r="BH190" s="293"/>
      <c r="BI190" s="337">
        <v>191250</v>
      </c>
      <c r="BJ190" s="338">
        <v>0</v>
      </c>
      <c r="BK190" s="126"/>
    </row>
    <row r="191" spans="1:63" ht="15.75">
      <c r="A191" s="314">
        <v>507776</v>
      </c>
      <c r="B191" s="124" t="s">
        <v>1075</v>
      </c>
      <c r="C191" s="124" t="s">
        <v>233</v>
      </c>
      <c r="D191" s="126">
        <v>208625</v>
      </c>
      <c r="E191" s="124" t="s">
        <v>1076</v>
      </c>
      <c r="F191" s="124" t="s">
        <v>1077</v>
      </c>
      <c r="G191" s="127" t="s">
        <v>53</v>
      </c>
      <c r="H191" s="126" t="s">
        <v>628</v>
      </c>
      <c r="I191" s="126" t="s">
        <v>598</v>
      </c>
      <c r="J191" s="126" t="s">
        <v>659</v>
      </c>
      <c r="K191" s="128" t="s">
        <v>660</v>
      </c>
      <c r="L191" s="121" t="s">
        <v>519</v>
      </c>
      <c r="M191" s="123" t="s">
        <v>1080</v>
      </c>
      <c r="N191" s="129">
        <v>43709</v>
      </c>
      <c r="O191" s="129">
        <v>44895</v>
      </c>
      <c r="P191" s="129">
        <v>44895</v>
      </c>
      <c r="Q191" s="323">
        <v>250000</v>
      </c>
      <c r="R191" s="319"/>
      <c r="S191" s="324">
        <v>43801</v>
      </c>
      <c r="T191" s="324"/>
      <c r="U191" s="324">
        <v>39532</v>
      </c>
      <c r="V191" s="324">
        <v>0</v>
      </c>
      <c r="W191" s="324">
        <v>0</v>
      </c>
      <c r="X191" s="324">
        <v>0</v>
      </c>
      <c r="Y191" s="312">
        <v>83333</v>
      </c>
      <c r="Z191" s="325">
        <v>83333</v>
      </c>
      <c r="AA191" s="325">
        <v>0</v>
      </c>
      <c r="AB191" s="326"/>
      <c r="AC191" s="324">
        <v>43801</v>
      </c>
      <c r="AD191" s="324"/>
      <c r="AE191" s="324">
        <v>39532</v>
      </c>
      <c r="AF191" s="324">
        <v>0</v>
      </c>
      <c r="AG191" s="324">
        <v>0</v>
      </c>
      <c r="AH191" s="324">
        <v>0</v>
      </c>
      <c r="AI191" s="312">
        <v>83333</v>
      </c>
      <c r="AJ191" s="327">
        <v>83333</v>
      </c>
      <c r="AK191" s="327">
        <v>0</v>
      </c>
      <c r="AL191" s="328"/>
      <c r="AM191" s="324">
        <v>43802</v>
      </c>
      <c r="AN191" s="324"/>
      <c r="AO191" s="324">
        <v>39532</v>
      </c>
      <c r="AP191" s="324">
        <v>0</v>
      </c>
      <c r="AQ191" s="324">
        <v>0</v>
      </c>
      <c r="AR191" s="324">
        <v>0</v>
      </c>
      <c r="AS191" s="293">
        <v>83334</v>
      </c>
      <c r="AT191" s="327">
        <v>83334</v>
      </c>
      <c r="AU191" s="327">
        <v>0</v>
      </c>
      <c r="AV191" s="328"/>
      <c r="AW191" s="279"/>
      <c r="AX191" s="279"/>
      <c r="AY191" s="279"/>
      <c r="AZ191" s="279"/>
      <c r="BA191" s="279"/>
      <c r="BB191" s="279"/>
      <c r="BC191" s="293"/>
      <c r="BD191" s="319"/>
      <c r="BE191" s="293"/>
      <c r="BF191" s="319"/>
      <c r="BG191" s="293"/>
      <c r="BH191" s="293"/>
      <c r="BI191" s="337">
        <v>250000</v>
      </c>
      <c r="BJ191" s="338">
        <v>0</v>
      </c>
      <c r="BK191" s="126"/>
    </row>
    <row r="192" spans="1:63" ht="15.75">
      <c r="A192" s="314">
        <v>502687</v>
      </c>
      <c r="B192" s="125" t="s">
        <v>1081</v>
      </c>
      <c r="C192" s="123" t="s">
        <v>139</v>
      </c>
      <c r="D192" s="126">
        <v>208628</v>
      </c>
      <c r="E192" s="124" t="s">
        <v>1082</v>
      </c>
      <c r="F192" s="124" t="s">
        <v>1083</v>
      </c>
      <c r="G192" s="127" t="s">
        <v>46</v>
      </c>
      <c r="H192" s="126" t="s">
        <v>628</v>
      </c>
      <c r="I192" s="126" t="s">
        <v>598</v>
      </c>
      <c r="J192" s="126" t="s">
        <v>730</v>
      </c>
      <c r="K192" s="128" t="s">
        <v>630</v>
      </c>
      <c r="L192" s="121" t="s">
        <v>19</v>
      </c>
      <c r="M192" s="123" t="s">
        <v>1084</v>
      </c>
      <c r="N192" s="129">
        <v>42826</v>
      </c>
      <c r="O192" s="129">
        <v>43830</v>
      </c>
      <c r="P192" s="129">
        <v>44106</v>
      </c>
      <c r="Q192" s="323">
        <v>24750</v>
      </c>
      <c r="R192" s="319"/>
      <c r="S192" s="324">
        <v>0</v>
      </c>
      <c r="T192" s="324">
        <v>0</v>
      </c>
      <c r="U192" s="324">
        <v>0</v>
      </c>
      <c r="V192" s="324">
        <v>0</v>
      </c>
      <c r="W192" s="324">
        <v>0</v>
      </c>
      <c r="X192" s="324">
        <v>0</v>
      </c>
      <c r="Y192" s="312">
        <v>0</v>
      </c>
      <c r="Z192" s="325">
        <v>0</v>
      </c>
      <c r="AA192" s="325">
        <v>0</v>
      </c>
      <c r="AB192" s="326"/>
      <c r="AC192" s="324">
        <v>0</v>
      </c>
      <c r="AD192" s="324">
        <v>0</v>
      </c>
      <c r="AE192" s="324">
        <v>0</v>
      </c>
      <c r="AF192" s="324">
        <v>0</v>
      </c>
      <c r="AG192" s="324">
        <v>24750</v>
      </c>
      <c r="AH192" s="324"/>
      <c r="AI192" s="312">
        <v>24750</v>
      </c>
      <c r="AJ192" s="327">
        <v>24750</v>
      </c>
      <c r="AK192" s="327">
        <v>0</v>
      </c>
      <c r="AL192" s="339"/>
      <c r="AM192" s="324">
        <v>0</v>
      </c>
      <c r="AN192" s="324">
        <v>0</v>
      </c>
      <c r="AO192" s="324">
        <v>0</v>
      </c>
      <c r="AP192" s="324">
        <v>0</v>
      </c>
      <c r="AQ192" s="324">
        <v>0</v>
      </c>
      <c r="AR192" s="324">
        <v>0</v>
      </c>
      <c r="AS192" s="293">
        <v>0</v>
      </c>
      <c r="AT192" s="327">
        <v>0</v>
      </c>
      <c r="AU192" s="327">
        <v>0</v>
      </c>
      <c r="AV192" s="328"/>
      <c r="AW192" s="279"/>
      <c r="AX192" s="279"/>
      <c r="AY192" s="279"/>
      <c r="AZ192" s="279"/>
      <c r="BA192" s="279"/>
      <c r="BB192" s="279"/>
      <c r="BC192" s="293"/>
      <c r="BD192" s="319"/>
      <c r="BE192" s="293"/>
      <c r="BF192" s="319"/>
      <c r="BG192" s="293"/>
      <c r="BH192" s="293"/>
      <c r="BI192" s="337">
        <v>24750</v>
      </c>
      <c r="BJ192" s="338">
        <v>0</v>
      </c>
      <c r="BK192" s="126" t="s">
        <v>1085</v>
      </c>
    </row>
    <row r="193" spans="1:63" ht="15.75">
      <c r="A193" s="314">
        <v>507776</v>
      </c>
      <c r="B193" s="124" t="s">
        <v>1081</v>
      </c>
      <c r="C193" s="123" t="s">
        <v>139</v>
      </c>
      <c r="D193" s="126">
        <v>208628</v>
      </c>
      <c r="E193" s="124" t="s">
        <v>1082</v>
      </c>
      <c r="F193" s="124" t="s">
        <v>1083</v>
      </c>
      <c r="G193" s="127" t="s">
        <v>53</v>
      </c>
      <c r="H193" s="126" t="s">
        <v>628</v>
      </c>
      <c r="I193" s="126" t="s">
        <v>598</v>
      </c>
      <c r="J193" s="126" t="s">
        <v>650</v>
      </c>
      <c r="K193" s="128" t="s">
        <v>630</v>
      </c>
      <c r="L193" s="121" t="s">
        <v>519</v>
      </c>
      <c r="M193" s="123" t="s">
        <v>1080</v>
      </c>
      <c r="N193" s="129">
        <v>43709</v>
      </c>
      <c r="O193" s="129">
        <v>44895</v>
      </c>
      <c r="P193" s="129">
        <v>44895</v>
      </c>
      <c r="Q193" s="323">
        <v>150000</v>
      </c>
      <c r="R193" s="319"/>
      <c r="S193" s="324">
        <v>0</v>
      </c>
      <c r="T193" s="324">
        <v>0</v>
      </c>
      <c r="U193" s="324">
        <v>30834</v>
      </c>
      <c r="V193" s="324" t="s">
        <v>1086</v>
      </c>
      <c r="W193" s="324">
        <v>2500</v>
      </c>
      <c r="X193" s="324" t="s">
        <v>1086</v>
      </c>
      <c r="Y193" s="312">
        <v>33334</v>
      </c>
      <c r="Z193" s="325">
        <v>33334</v>
      </c>
      <c r="AA193" s="325">
        <v>0</v>
      </c>
      <c r="AB193" s="326"/>
      <c r="AC193" s="324">
        <v>15000</v>
      </c>
      <c r="AD193" s="324">
        <v>0</v>
      </c>
      <c r="AE193" s="324">
        <v>10834</v>
      </c>
      <c r="AF193" s="324">
        <v>0</v>
      </c>
      <c r="AG193" s="324">
        <v>7500</v>
      </c>
      <c r="AH193" s="324">
        <v>0</v>
      </c>
      <c r="AI193" s="312">
        <v>33334</v>
      </c>
      <c r="AJ193" s="327">
        <v>33334</v>
      </c>
      <c r="AK193" s="327">
        <v>0</v>
      </c>
      <c r="AL193" s="328"/>
      <c r="AM193" s="279">
        <v>65000</v>
      </c>
      <c r="AN193" s="279">
        <v>0</v>
      </c>
      <c r="AO193" s="279">
        <v>18332</v>
      </c>
      <c r="AP193" s="279">
        <v>0</v>
      </c>
      <c r="AQ193" s="279">
        <v>0</v>
      </c>
      <c r="AR193" s="279"/>
      <c r="AS193" s="293">
        <v>83332</v>
      </c>
      <c r="AT193" s="327">
        <v>83332</v>
      </c>
      <c r="AU193" s="327">
        <v>0</v>
      </c>
      <c r="AV193" s="328"/>
      <c r="AW193" s="279"/>
      <c r="AX193" s="279"/>
      <c r="AY193" s="279"/>
      <c r="AZ193" s="279"/>
      <c r="BA193" s="279"/>
      <c r="BB193" s="279"/>
      <c r="BC193" s="293"/>
      <c r="BD193" s="319"/>
      <c r="BE193" s="293"/>
      <c r="BF193" s="319"/>
      <c r="BG193" s="293"/>
      <c r="BH193" s="293"/>
      <c r="BI193" s="337">
        <v>150000</v>
      </c>
      <c r="BJ193" s="345">
        <v>0</v>
      </c>
      <c r="BK193" s="126"/>
    </row>
    <row r="194" spans="1:63" ht="15.75">
      <c r="A194" s="314">
        <v>500971</v>
      </c>
      <c r="B194" s="125" t="s">
        <v>1087</v>
      </c>
      <c r="C194" s="124" t="s">
        <v>328</v>
      </c>
      <c r="D194" s="126">
        <v>208630</v>
      </c>
      <c r="E194" s="148" t="s">
        <v>1088</v>
      </c>
      <c r="F194" s="148" t="s">
        <v>1089</v>
      </c>
      <c r="G194" s="127" t="s">
        <v>53</v>
      </c>
      <c r="H194" s="149" t="s">
        <v>597</v>
      </c>
      <c r="I194" s="126" t="s">
        <v>598</v>
      </c>
      <c r="J194" s="126" t="s">
        <v>635</v>
      </c>
      <c r="K194" s="128" t="s">
        <v>911</v>
      </c>
      <c r="L194" s="121" t="s">
        <v>637</v>
      </c>
      <c r="M194" s="123" t="s">
        <v>638</v>
      </c>
      <c r="N194" s="129">
        <v>42248</v>
      </c>
      <c r="O194" s="129">
        <v>42643</v>
      </c>
      <c r="P194" s="129">
        <v>42643</v>
      </c>
      <c r="Q194" s="330">
        <v>41667</v>
      </c>
      <c r="R194" s="324">
        <v>41667</v>
      </c>
      <c r="S194" s="324"/>
      <c r="T194" s="324">
        <v>0</v>
      </c>
      <c r="U194" s="324">
        <v>0</v>
      </c>
      <c r="V194" s="324"/>
      <c r="W194" s="324">
        <v>0</v>
      </c>
      <c r="X194" s="324">
        <v>0</v>
      </c>
      <c r="Y194" s="312">
        <v>41667</v>
      </c>
      <c r="Z194" s="325">
        <v>41667</v>
      </c>
      <c r="AA194" s="325">
        <v>0</v>
      </c>
      <c r="AB194" s="326"/>
      <c r="AC194" s="324" t="s">
        <v>602</v>
      </c>
      <c r="AD194" s="324" t="s">
        <v>602</v>
      </c>
      <c r="AE194" s="324" t="s">
        <v>602</v>
      </c>
      <c r="AF194" s="324" t="s">
        <v>602</v>
      </c>
      <c r="AG194" s="324" t="s">
        <v>602</v>
      </c>
      <c r="AH194" s="324"/>
      <c r="AI194" s="312">
        <v>0</v>
      </c>
      <c r="AJ194" s="327">
        <v>0</v>
      </c>
      <c r="AK194" s="327">
        <v>0</v>
      </c>
      <c r="AL194" s="328"/>
      <c r="AM194" s="324">
        <v>0</v>
      </c>
      <c r="AN194" s="324">
        <v>0</v>
      </c>
      <c r="AO194" s="324">
        <v>0</v>
      </c>
      <c r="AP194" s="324">
        <v>0</v>
      </c>
      <c r="AQ194" s="324">
        <v>0</v>
      </c>
      <c r="AR194" s="324">
        <v>0</v>
      </c>
      <c r="AS194" s="293">
        <v>0</v>
      </c>
      <c r="AT194" s="327">
        <v>0</v>
      </c>
      <c r="AU194" s="327">
        <v>0</v>
      </c>
      <c r="AV194" s="328"/>
      <c r="AW194" s="324" t="s">
        <v>602</v>
      </c>
      <c r="AX194" s="324" t="s">
        <v>602</v>
      </c>
      <c r="AY194" s="324" t="s">
        <v>602</v>
      </c>
      <c r="AZ194" s="324" t="s">
        <v>602</v>
      </c>
      <c r="BA194" s="324"/>
      <c r="BB194" s="324" t="s">
        <v>602</v>
      </c>
      <c r="BC194" s="293"/>
      <c r="BD194" s="319"/>
      <c r="BE194" s="293"/>
      <c r="BF194" s="319"/>
      <c r="BG194" s="293"/>
      <c r="BH194" s="293"/>
      <c r="BI194" s="337">
        <v>41667</v>
      </c>
      <c r="BJ194" s="338">
        <v>0</v>
      </c>
      <c r="BK194" s="280"/>
    </row>
    <row r="195" spans="1:63" ht="15.75">
      <c r="A195" s="314">
        <v>501349</v>
      </c>
      <c r="B195" s="125" t="s">
        <v>1087</v>
      </c>
      <c r="C195" s="124" t="s">
        <v>328</v>
      </c>
      <c r="D195" s="126">
        <v>208630</v>
      </c>
      <c r="E195" s="148" t="s">
        <v>1088</v>
      </c>
      <c r="F195" s="148" t="s">
        <v>1089</v>
      </c>
      <c r="G195" s="127" t="s">
        <v>53</v>
      </c>
      <c r="H195" s="149" t="s">
        <v>628</v>
      </c>
      <c r="I195" s="126" t="s">
        <v>598</v>
      </c>
      <c r="J195" s="126" t="s">
        <v>635</v>
      </c>
      <c r="K195" s="128" t="s">
        <v>636</v>
      </c>
      <c r="L195" s="121" t="s">
        <v>515</v>
      </c>
      <c r="M195" s="123" t="s">
        <v>640</v>
      </c>
      <c r="N195" s="129">
        <v>42614</v>
      </c>
      <c r="O195" s="129">
        <v>43708</v>
      </c>
      <c r="P195" s="129">
        <v>43708</v>
      </c>
      <c r="Q195" s="330">
        <v>300000</v>
      </c>
      <c r="R195" s="331"/>
      <c r="S195" s="324">
        <v>58000</v>
      </c>
      <c r="T195" s="324">
        <v>0</v>
      </c>
      <c r="U195" s="324">
        <v>32000</v>
      </c>
      <c r="V195" s="324"/>
      <c r="W195" s="324">
        <v>10000</v>
      </c>
      <c r="X195" s="324">
        <v>0</v>
      </c>
      <c r="Y195" s="312">
        <v>100000</v>
      </c>
      <c r="Z195" s="325">
        <v>100000</v>
      </c>
      <c r="AA195" s="325">
        <v>0</v>
      </c>
      <c r="AB195" s="326"/>
      <c r="AC195" s="324">
        <v>58000</v>
      </c>
      <c r="AD195" s="324">
        <v>0</v>
      </c>
      <c r="AE195" s="324">
        <v>32000</v>
      </c>
      <c r="AF195" s="324">
        <v>10000</v>
      </c>
      <c r="AG195" s="324">
        <v>0</v>
      </c>
      <c r="AH195" s="324"/>
      <c r="AI195" s="312">
        <v>100000</v>
      </c>
      <c r="AJ195" s="327">
        <v>100000</v>
      </c>
      <c r="AK195" s="327">
        <v>0</v>
      </c>
      <c r="AL195" s="328"/>
      <c r="AM195" s="279">
        <v>58000</v>
      </c>
      <c r="AN195" s="279">
        <v>0</v>
      </c>
      <c r="AO195" s="279">
        <v>32000</v>
      </c>
      <c r="AP195" s="279"/>
      <c r="AQ195" s="279">
        <v>10000</v>
      </c>
      <c r="AR195" s="279">
        <v>0</v>
      </c>
      <c r="AS195" s="293">
        <v>100000</v>
      </c>
      <c r="AT195" s="327">
        <v>100000</v>
      </c>
      <c r="AU195" s="327">
        <v>0</v>
      </c>
      <c r="AV195" s="328"/>
      <c r="AW195" s="279"/>
      <c r="AX195" s="279"/>
      <c r="AY195" s="279"/>
      <c r="AZ195" s="279"/>
      <c r="BA195" s="279"/>
      <c r="BB195" s="279"/>
      <c r="BC195" s="293"/>
      <c r="BD195" s="319"/>
      <c r="BE195" s="293"/>
      <c r="BF195" s="319"/>
      <c r="BG195" s="293"/>
      <c r="BH195" s="293"/>
      <c r="BI195" s="337">
        <v>300000</v>
      </c>
      <c r="BJ195" s="338">
        <v>0</v>
      </c>
      <c r="BK195" s="280"/>
    </row>
    <row r="196" spans="1:63" ht="15.75">
      <c r="A196" s="314">
        <v>507779</v>
      </c>
      <c r="B196" s="125" t="s">
        <v>1087</v>
      </c>
      <c r="C196" s="124" t="s">
        <v>328</v>
      </c>
      <c r="D196" s="126">
        <v>208630</v>
      </c>
      <c r="E196" s="148" t="s">
        <v>1088</v>
      </c>
      <c r="F196" s="148" t="s">
        <v>1089</v>
      </c>
      <c r="G196" s="127" t="s">
        <v>53</v>
      </c>
      <c r="H196" s="149" t="s">
        <v>628</v>
      </c>
      <c r="I196" s="126" t="s">
        <v>598</v>
      </c>
      <c r="J196" s="126" t="s">
        <v>635</v>
      </c>
      <c r="K196" s="128" t="s">
        <v>636</v>
      </c>
      <c r="L196" s="121" t="s">
        <v>519</v>
      </c>
      <c r="M196" s="123" t="s">
        <v>641</v>
      </c>
      <c r="N196" s="129">
        <v>43709</v>
      </c>
      <c r="O196" s="129">
        <v>44895</v>
      </c>
      <c r="P196" s="129">
        <v>44895</v>
      </c>
      <c r="Q196" s="323">
        <v>225000</v>
      </c>
      <c r="R196" s="319"/>
      <c r="S196" s="324">
        <v>50000</v>
      </c>
      <c r="T196" s="324"/>
      <c r="U196" s="324">
        <v>20000</v>
      </c>
      <c r="V196" s="324"/>
      <c r="W196" s="324">
        <v>5000</v>
      </c>
      <c r="X196" s="324"/>
      <c r="Y196" s="312">
        <v>75000</v>
      </c>
      <c r="Z196" s="325">
        <v>75000</v>
      </c>
      <c r="AA196" s="325">
        <v>0</v>
      </c>
      <c r="AB196" s="326"/>
      <c r="AC196" s="324">
        <v>50000</v>
      </c>
      <c r="AD196" s="324"/>
      <c r="AE196" s="324">
        <v>20000</v>
      </c>
      <c r="AF196" s="324"/>
      <c r="AG196" s="324">
        <v>5000</v>
      </c>
      <c r="AH196" s="324"/>
      <c r="AI196" s="312">
        <v>75000</v>
      </c>
      <c r="AJ196" s="327">
        <v>75000</v>
      </c>
      <c r="AK196" s="327">
        <v>0</v>
      </c>
      <c r="AL196" s="328"/>
      <c r="AM196" s="324">
        <v>50000</v>
      </c>
      <c r="AN196" s="324">
        <v>0</v>
      </c>
      <c r="AO196" s="324">
        <v>20000</v>
      </c>
      <c r="AP196" s="324">
        <v>0</v>
      </c>
      <c r="AQ196" s="324">
        <v>5000</v>
      </c>
      <c r="AR196" s="324">
        <v>0</v>
      </c>
      <c r="AS196" s="293">
        <v>75000</v>
      </c>
      <c r="AT196" s="327">
        <v>75000</v>
      </c>
      <c r="AU196" s="327">
        <v>0</v>
      </c>
      <c r="AV196" s="328"/>
      <c r="AW196" s="279"/>
      <c r="AX196" s="279"/>
      <c r="AY196" s="279"/>
      <c r="AZ196" s="279"/>
      <c r="BA196" s="279"/>
      <c r="BB196" s="279"/>
      <c r="BC196" s="293"/>
      <c r="BD196" s="319"/>
      <c r="BE196" s="293"/>
      <c r="BF196" s="319"/>
      <c r="BG196" s="293"/>
      <c r="BH196" s="293"/>
      <c r="BI196" s="337">
        <v>225000</v>
      </c>
      <c r="BJ196" s="338">
        <v>0</v>
      </c>
      <c r="BK196" s="280"/>
    </row>
    <row r="197" spans="1:63" ht="15.75">
      <c r="A197" s="314">
        <v>500970</v>
      </c>
      <c r="B197" s="125" t="s">
        <v>1090</v>
      </c>
      <c r="C197" s="124" t="s">
        <v>330</v>
      </c>
      <c r="D197" s="126">
        <v>208631</v>
      </c>
      <c r="E197" s="124" t="s">
        <v>1091</v>
      </c>
      <c r="F197" s="124" t="s">
        <v>1092</v>
      </c>
      <c r="G197" s="127" t="s">
        <v>53</v>
      </c>
      <c r="H197" s="126" t="s">
        <v>597</v>
      </c>
      <c r="I197" s="126" t="s">
        <v>598</v>
      </c>
      <c r="J197" s="126" t="s">
        <v>635</v>
      </c>
      <c r="K197" s="128" t="s">
        <v>911</v>
      </c>
      <c r="L197" s="121" t="s">
        <v>637</v>
      </c>
      <c r="M197" s="123" t="s">
        <v>638</v>
      </c>
      <c r="N197" s="129">
        <v>42248</v>
      </c>
      <c r="O197" s="129">
        <v>42643</v>
      </c>
      <c r="P197" s="129">
        <v>42643</v>
      </c>
      <c r="Q197" s="323">
        <v>83333</v>
      </c>
      <c r="R197" s="324">
        <v>83333</v>
      </c>
      <c r="S197" s="324"/>
      <c r="T197" s="324">
        <v>0</v>
      </c>
      <c r="U197" s="324">
        <v>0</v>
      </c>
      <c r="V197" s="324"/>
      <c r="W197" s="324">
        <v>0</v>
      </c>
      <c r="X197" s="324">
        <v>0</v>
      </c>
      <c r="Y197" s="312">
        <v>83333</v>
      </c>
      <c r="Z197" s="325">
        <v>83333</v>
      </c>
      <c r="AA197" s="325">
        <v>0</v>
      </c>
      <c r="AB197" s="326"/>
      <c r="AC197" s="324" t="s">
        <v>602</v>
      </c>
      <c r="AD197" s="324" t="s">
        <v>602</v>
      </c>
      <c r="AE197" s="324" t="s">
        <v>602</v>
      </c>
      <c r="AF197" s="324" t="s">
        <v>602</v>
      </c>
      <c r="AG197" s="324" t="s">
        <v>602</v>
      </c>
      <c r="AH197" s="324"/>
      <c r="AI197" s="312">
        <v>0</v>
      </c>
      <c r="AJ197" s="327">
        <v>0</v>
      </c>
      <c r="AK197" s="327">
        <v>0</v>
      </c>
      <c r="AL197" s="328"/>
      <c r="AM197" s="324">
        <v>0</v>
      </c>
      <c r="AN197" s="324">
        <v>0</v>
      </c>
      <c r="AO197" s="324">
        <v>0</v>
      </c>
      <c r="AP197" s="324">
        <v>0</v>
      </c>
      <c r="AQ197" s="324">
        <v>0</v>
      </c>
      <c r="AR197" s="324">
        <v>0</v>
      </c>
      <c r="AS197" s="293">
        <v>0</v>
      </c>
      <c r="AT197" s="327">
        <v>0</v>
      </c>
      <c r="AU197" s="327">
        <v>0</v>
      </c>
      <c r="AV197" s="328"/>
      <c r="AW197" s="324" t="s">
        <v>602</v>
      </c>
      <c r="AX197" s="324" t="s">
        <v>602</v>
      </c>
      <c r="AY197" s="324" t="s">
        <v>602</v>
      </c>
      <c r="AZ197" s="324" t="s">
        <v>602</v>
      </c>
      <c r="BA197" s="324"/>
      <c r="BB197" s="324" t="s">
        <v>602</v>
      </c>
      <c r="BC197" s="293"/>
      <c r="BD197" s="319"/>
      <c r="BE197" s="293"/>
      <c r="BF197" s="319"/>
      <c r="BG197" s="293"/>
      <c r="BH197" s="293"/>
      <c r="BI197" s="337">
        <v>83333</v>
      </c>
      <c r="BJ197" s="338">
        <v>0</v>
      </c>
      <c r="BK197" s="126"/>
    </row>
    <row r="198" spans="1:63" ht="15.75">
      <c r="A198" s="314">
        <v>501349</v>
      </c>
      <c r="B198" s="125" t="s">
        <v>1090</v>
      </c>
      <c r="C198" s="124" t="s">
        <v>330</v>
      </c>
      <c r="D198" s="126">
        <v>208631</v>
      </c>
      <c r="E198" s="124" t="s">
        <v>1091</v>
      </c>
      <c r="F198" s="124" t="s">
        <v>1092</v>
      </c>
      <c r="G198" s="127" t="s">
        <v>53</v>
      </c>
      <c r="H198" s="126" t="s">
        <v>628</v>
      </c>
      <c r="I198" s="126" t="s">
        <v>598</v>
      </c>
      <c r="J198" s="126" t="s">
        <v>635</v>
      </c>
      <c r="K198" s="128" t="s">
        <v>636</v>
      </c>
      <c r="L198" s="121" t="s">
        <v>515</v>
      </c>
      <c r="M198" s="123" t="s">
        <v>640</v>
      </c>
      <c r="N198" s="129">
        <v>42614</v>
      </c>
      <c r="O198" s="129">
        <v>43708</v>
      </c>
      <c r="P198" s="129">
        <v>43708</v>
      </c>
      <c r="Q198" s="323">
        <v>556823</v>
      </c>
      <c r="R198" s="319"/>
      <c r="S198" s="324">
        <v>40000</v>
      </c>
      <c r="T198" s="324">
        <v>0</v>
      </c>
      <c r="U198" s="324">
        <v>50000</v>
      </c>
      <c r="V198" s="324"/>
      <c r="W198" s="324">
        <v>10000</v>
      </c>
      <c r="X198" s="324">
        <v>0</v>
      </c>
      <c r="Y198" s="312">
        <v>100000</v>
      </c>
      <c r="Z198" s="325">
        <v>100000</v>
      </c>
      <c r="AA198" s="325">
        <v>0</v>
      </c>
      <c r="AB198" s="326"/>
      <c r="AC198" s="324">
        <v>90000</v>
      </c>
      <c r="AD198" s="324">
        <v>0</v>
      </c>
      <c r="AE198" s="324">
        <v>116000</v>
      </c>
      <c r="AF198" s="324">
        <v>34823</v>
      </c>
      <c r="AG198" s="324">
        <v>0</v>
      </c>
      <c r="AH198" s="324"/>
      <c r="AI198" s="312">
        <v>240823</v>
      </c>
      <c r="AJ198" s="327">
        <v>240823</v>
      </c>
      <c r="AK198" s="327">
        <v>0</v>
      </c>
      <c r="AL198" s="328"/>
      <c r="AM198" s="279">
        <v>90000</v>
      </c>
      <c r="AN198" s="279">
        <v>0</v>
      </c>
      <c r="AO198" s="279">
        <v>116000</v>
      </c>
      <c r="AP198" s="279"/>
      <c r="AQ198" s="279">
        <v>10000</v>
      </c>
      <c r="AR198" s="279">
        <v>0</v>
      </c>
      <c r="AS198" s="293">
        <v>216000</v>
      </c>
      <c r="AT198" s="327">
        <v>216000</v>
      </c>
      <c r="AU198" s="327">
        <v>0</v>
      </c>
      <c r="AV198" s="328"/>
      <c r="AW198" s="279"/>
      <c r="AX198" s="279"/>
      <c r="AY198" s="279"/>
      <c r="AZ198" s="279"/>
      <c r="BA198" s="279"/>
      <c r="BB198" s="279"/>
      <c r="BC198" s="293"/>
      <c r="BD198" s="319"/>
      <c r="BE198" s="293"/>
      <c r="BF198" s="319"/>
      <c r="BG198" s="293"/>
      <c r="BH198" s="293"/>
      <c r="BI198" s="337">
        <v>556823</v>
      </c>
      <c r="BJ198" s="338">
        <v>0</v>
      </c>
      <c r="BK198" s="126"/>
    </row>
    <row r="199" spans="1:63" ht="15.75">
      <c r="A199" s="314">
        <v>501382</v>
      </c>
      <c r="B199" s="125" t="s">
        <v>1090</v>
      </c>
      <c r="C199" s="124" t="s">
        <v>330</v>
      </c>
      <c r="D199" s="126">
        <v>208631</v>
      </c>
      <c r="E199" s="124" t="s">
        <v>1091</v>
      </c>
      <c r="F199" s="124" t="s">
        <v>1092</v>
      </c>
      <c r="G199" s="127" t="s">
        <v>53</v>
      </c>
      <c r="H199" s="126" t="s">
        <v>597</v>
      </c>
      <c r="I199" s="126" t="s">
        <v>598</v>
      </c>
      <c r="J199" s="126" t="s">
        <v>635</v>
      </c>
      <c r="K199" s="128" t="s">
        <v>911</v>
      </c>
      <c r="L199" s="121" t="s">
        <v>515</v>
      </c>
      <c r="M199" s="123" t="s">
        <v>1093</v>
      </c>
      <c r="N199" s="129">
        <v>42614</v>
      </c>
      <c r="O199" s="129">
        <v>42978</v>
      </c>
      <c r="P199" s="129">
        <v>43708</v>
      </c>
      <c r="Q199" s="323">
        <v>140823</v>
      </c>
      <c r="R199" s="319"/>
      <c r="S199" s="324">
        <v>50000</v>
      </c>
      <c r="T199" s="324">
        <v>0</v>
      </c>
      <c r="U199" s="324">
        <v>66000</v>
      </c>
      <c r="V199" s="324"/>
      <c r="W199" s="324">
        <v>24823</v>
      </c>
      <c r="X199" s="324">
        <v>0</v>
      </c>
      <c r="Y199" s="312">
        <v>140823</v>
      </c>
      <c r="Z199" s="325">
        <v>140823</v>
      </c>
      <c r="AA199" s="325">
        <v>0</v>
      </c>
      <c r="AB199" s="326"/>
      <c r="AC199" s="324">
        <v>0</v>
      </c>
      <c r="AD199" s="324">
        <v>0</v>
      </c>
      <c r="AE199" s="324">
        <v>0</v>
      </c>
      <c r="AF199" s="324">
        <v>0</v>
      </c>
      <c r="AG199" s="324">
        <v>0</v>
      </c>
      <c r="AH199" s="324"/>
      <c r="AI199" s="312">
        <v>0</v>
      </c>
      <c r="AJ199" s="327">
        <v>0</v>
      </c>
      <c r="AK199" s="327">
        <v>0</v>
      </c>
      <c r="AL199" s="328"/>
      <c r="AM199" s="324">
        <v>0</v>
      </c>
      <c r="AN199" s="324">
        <v>0</v>
      </c>
      <c r="AO199" s="324">
        <v>0</v>
      </c>
      <c r="AP199" s="324">
        <v>0</v>
      </c>
      <c r="AQ199" s="324">
        <v>0</v>
      </c>
      <c r="AR199" s="324">
        <v>0</v>
      </c>
      <c r="AS199" s="293">
        <v>0</v>
      </c>
      <c r="AT199" s="327">
        <v>0</v>
      </c>
      <c r="AU199" s="327">
        <v>0</v>
      </c>
      <c r="AV199" s="328"/>
      <c r="AW199" s="279"/>
      <c r="AX199" s="279"/>
      <c r="AY199" s="279"/>
      <c r="AZ199" s="279"/>
      <c r="BA199" s="279"/>
      <c r="BB199" s="279"/>
      <c r="BC199" s="293"/>
      <c r="BD199" s="319"/>
      <c r="BE199" s="293"/>
      <c r="BF199" s="319"/>
      <c r="BG199" s="293"/>
      <c r="BH199" s="293"/>
      <c r="BI199" s="337">
        <v>140823</v>
      </c>
      <c r="BJ199" s="338">
        <v>0</v>
      </c>
      <c r="BK199" s="126"/>
    </row>
    <row r="200" spans="1:63" ht="15.75">
      <c r="A200" s="314">
        <v>507779</v>
      </c>
      <c r="B200" s="125" t="s">
        <v>1090</v>
      </c>
      <c r="C200" s="124" t="s">
        <v>330</v>
      </c>
      <c r="D200" s="126">
        <v>208631</v>
      </c>
      <c r="E200" s="124" t="s">
        <v>1091</v>
      </c>
      <c r="F200" s="124" t="s">
        <v>1092</v>
      </c>
      <c r="G200" s="127" t="s">
        <v>53</v>
      </c>
      <c r="H200" s="149" t="s">
        <v>628</v>
      </c>
      <c r="I200" s="126" t="s">
        <v>598</v>
      </c>
      <c r="J200" s="126" t="s">
        <v>635</v>
      </c>
      <c r="K200" s="128" t="s">
        <v>911</v>
      </c>
      <c r="L200" s="121" t="s">
        <v>519</v>
      </c>
      <c r="M200" s="123" t="s">
        <v>641</v>
      </c>
      <c r="N200" s="129">
        <v>43709</v>
      </c>
      <c r="O200" s="129">
        <v>44895</v>
      </c>
      <c r="P200" s="129">
        <v>44895</v>
      </c>
      <c r="Q200" s="323">
        <v>150000</v>
      </c>
      <c r="R200" s="319"/>
      <c r="S200" s="324">
        <v>30000</v>
      </c>
      <c r="T200" s="324">
        <v>0</v>
      </c>
      <c r="U200" s="324">
        <v>8000</v>
      </c>
      <c r="V200" s="324">
        <v>0</v>
      </c>
      <c r="W200" s="324">
        <v>12000</v>
      </c>
      <c r="X200" s="324">
        <v>0</v>
      </c>
      <c r="Y200" s="312">
        <v>50000</v>
      </c>
      <c r="Z200" s="325">
        <v>50000</v>
      </c>
      <c r="AA200" s="325">
        <v>0</v>
      </c>
      <c r="AB200" s="326"/>
      <c r="AC200" s="324">
        <v>30000</v>
      </c>
      <c r="AD200" s="324">
        <v>0</v>
      </c>
      <c r="AE200" s="324">
        <v>8000</v>
      </c>
      <c r="AF200" s="324">
        <v>0</v>
      </c>
      <c r="AG200" s="324">
        <v>12000</v>
      </c>
      <c r="AH200" s="324">
        <v>0</v>
      </c>
      <c r="AI200" s="312">
        <v>50000</v>
      </c>
      <c r="AJ200" s="327">
        <v>50000</v>
      </c>
      <c r="AK200" s="327">
        <v>0</v>
      </c>
      <c r="AL200" s="328"/>
      <c r="AM200" s="324">
        <v>30000</v>
      </c>
      <c r="AN200" s="324">
        <v>0</v>
      </c>
      <c r="AO200" s="324">
        <v>8000</v>
      </c>
      <c r="AP200" s="324">
        <v>0</v>
      </c>
      <c r="AQ200" s="324">
        <v>12000</v>
      </c>
      <c r="AR200" s="324">
        <v>0</v>
      </c>
      <c r="AS200" s="293">
        <v>50000</v>
      </c>
      <c r="AT200" s="327">
        <v>50000</v>
      </c>
      <c r="AU200" s="327">
        <v>0</v>
      </c>
      <c r="AV200" s="328"/>
      <c r="AW200" s="279"/>
      <c r="AX200" s="279"/>
      <c r="AY200" s="279"/>
      <c r="AZ200" s="279"/>
      <c r="BA200" s="279"/>
      <c r="BB200" s="279"/>
      <c r="BC200" s="293"/>
      <c r="BD200" s="319"/>
      <c r="BE200" s="293"/>
      <c r="BF200" s="319"/>
      <c r="BG200" s="293"/>
      <c r="BH200" s="293"/>
      <c r="BI200" s="337">
        <v>150000</v>
      </c>
      <c r="BJ200" s="338">
        <v>0</v>
      </c>
      <c r="BK200" s="126"/>
    </row>
    <row r="201" spans="1:63" ht="15.75">
      <c r="A201" s="314">
        <v>501045</v>
      </c>
      <c r="B201" s="125" t="s">
        <v>1094</v>
      </c>
      <c r="C201" s="124" t="s">
        <v>1095</v>
      </c>
      <c r="D201" s="126">
        <v>208636</v>
      </c>
      <c r="E201" s="121" t="s">
        <v>1096</v>
      </c>
      <c r="F201" s="121" t="s">
        <v>1097</v>
      </c>
      <c r="G201" s="127" t="s">
        <v>75</v>
      </c>
      <c r="H201" s="123" t="s">
        <v>597</v>
      </c>
      <c r="I201" s="126" t="s">
        <v>598</v>
      </c>
      <c r="J201" s="126" t="s">
        <v>1098</v>
      </c>
      <c r="K201" s="128" t="s">
        <v>1099</v>
      </c>
      <c r="L201" s="121" t="s">
        <v>19</v>
      </c>
      <c r="M201" s="143" t="s">
        <v>661</v>
      </c>
      <c r="N201" s="129">
        <v>42522</v>
      </c>
      <c r="O201" s="129">
        <v>43312</v>
      </c>
      <c r="P201" s="129">
        <v>43251</v>
      </c>
      <c r="Q201" s="330">
        <v>150000</v>
      </c>
      <c r="R201" s="324">
        <v>75000</v>
      </c>
      <c r="S201" s="324">
        <v>0</v>
      </c>
      <c r="T201" s="324">
        <v>0</v>
      </c>
      <c r="U201" s="324">
        <v>0</v>
      </c>
      <c r="V201" s="324">
        <v>0</v>
      </c>
      <c r="W201" s="324">
        <v>0</v>
      </c>
      <c r="X201" s="324">
        <v>0</v>
      </c>
      <c r="Y201" s="312">
        <v>75000</v>
      </c>
      <c r="Z201" s="325">
        <v>75000</v>
      </c>
      <c r="AA201" s="325">
        <v>0</v>
      </c>
      <c r="AB201" s="324">
        <v>75000</v>
      </c>
      <c r="AC201" s="324">
        <v>0</v>
      </c>
      <c r="AD201" s="324">
        <v>0</v>
      </c>
      <c r="AE201" s="324">
        <v>0</v>
      </c>
      <c r="AF201" s="324">
        <v>0</v>
      </c>
      <c r="AG201" s="324">
        <v>0</v>
      </c>
      <c r="AH201" s="324"/>
      <c r="AI201" s="312">
        <v>75000</v>
      </c>
      <c r="AJ201" s="327">
        <v>75000</v>
      </c>
      <c r="AK201" s="327">
        <v>0</v>
      </c>
      <c r="AL201" s="339"/>
      <c r="AM201" s="324">
        <v>0</v>
      </c>
      <c r="AN201" s="324">
        <v>0</v>
      </c>
      <c r="AO201" s="324">
        <v>0</v>
      </c>
      <c r="AP201" s="324">
        <v>0</v>
      </c>
      <c r="AQ201" s="324">
        <v>0</v>
      </c>
      <c r="AR201" s="324">
        <v>0</v>
      </c>
      <c r="AS201" s="293">
        <v>0</v>
      </c>
      <c r="AT201" s="327">
        <v>0</v>
      </c>
      <c r="AU201" s="327">
        <v>0</v>
      </c>
      <c r="AV201" s="328"/>
      <c r="AW201" s="284"/>
      <c r="AX201" s="284"/>
      <c r="AY201" s="284"/>
      <c r="AZ201" s="284"/>
      <c r="BA201" s="284"/>
      <c r="BB201" s="284"/>
      <c r="BC201" s="293"/>
      <c r="BD201" s="319"/>
      <c r="BE201" s="293"/>
      <c r="BF201" s="319"/>
      <c r="BG201" s="293"/>
      <c r="BH201" s="293"/>
      <c r="BI201" s="337">
        <v>150000</v>
      </c>
      <c r="BJ201" s="338">
        <v>0</v>
      </c>
      <c r="BK201" s="280" t="s">
        <v>1100</v>
      </c>
    </row>
    <row r="202" spans="1:63" ht="15.75">
      <c r="A202" s="314">
        <v>506475</v>
      </c>
      <c r="B202" s="125" t="s">
        <v>1094</v>
      </c>
      <c r="C202" s="124" t="s">
        <v>1095</v>
      </c>
      <c r="D202" s="126">
        <v>208636</v>
      </c>
      <c r="E202" s="123" t="s">
        <v>1096</v>
      </c>
      <c r="F202" s="121" t="s">
        <v>1097</v>
      </c>
      <c r="G202" s="127" t="s">
        <v>75</v>
      </c>
      <c r="H202" s="123" t="s">
        <v>597</v>
      </c>
      <c r="I202" s="126" t="s">
        <v>598</v>
      </c>
      <c r="J202" s="126" t="s">
        <v>1098</v>
      </c>
      <c r="K202" s="128" t="s">
        <v>1099</v>
      </c>
      <c r="L202" s="121" t="s">
        <v>19</v>
      </c>
      <c r="M202" s="123" t="s">
        <v>1101</v>
      </c>
      <c r="N202" s="129">
        <v>43556</v>
      </c>
      <c r="O202" s="129">
        <v>43921</v>
      </c>
      <c r="P202" s="129">
        <v>43921</v>
      </c>
      <c r="Q202" s="330">
        <v>75000</v>
      </c>
      <c r="R202" s="331"/>
      <c r="S202" s="324">
        <v>49000</v>
      </c>
      <c r="T202" s="324">
        <v>0</v>
      </c>
      <c r="U202" s="324">
        <v>10000</v>
      </c>
      <c r="V202" s="324">
        <v>0</v>
      </c>
      <c r="W202" s="324">
        <v>16000</v>
      </c>
      <c r="X202" s="324">
        <v>0</v>
      </c>
      <c r="Y202" s="312">
        <v>75000</v>
      </c>
      <c r="Z202" s="325">
        <v>75000</v>
      </c>
      <c r="AA202" s="325">
        <v>0</v>
      </c>
      <c r="AB202" s="326"/>
      <c r="AC202" s="324" t="s">
        <v>602</v>
      </c>
      <c r="AD202" s="324" t="s">
        <v>602</v>
      </c>
      <c r="AE202" s="324" t="s">
        <v>602</v>
      </c>
      <c r="AF202" s="324" t="s">
        <v>602</v>
      </c>
      <c r="AG202" s="324" t="s">
        <v>602</v>
      </c>
      <c r="AH202" s="283"/>
      <c r="AI202" s="312"/>
      <c r="AJ202" s="327">
        <v>0</v>
      </c>
      <c r="AK202" s="327">
        <v>0</v>
      </c>
      <c r="AL202" s="339"/>
      <c r="AM202" s="324">
        <v>0</v>
      </c>
      <c r="AN202" s="324">
        <v>0</v>
      </c>
      <c r="AO202" s="324">
        <v>0</v>
      </c>
      <c r="AP202" s="324">
        <v>0</v>
      </c>
      <c r="AQ202" s="324">
        <v>0</v>
      </c>
      <c r="AR202" s="324">
        <v>0</v>
      </c>
      <c r="AS202" s="154"/>
      <c r="AT202" s="327">
        <v>0</v>
      </c>
      <c r="AU202" s="327">
        <v>0</v>
      </c>
      <c r="AV202" s="121"/>
      <c r="AW202" s="153"/>
      <c r="AX202" s="153"/>
      <c r="AY202" s="153"/>
      <c r="AZ202" s="153"/>
      <c r="BA202" s="153"/>
      <c r="BB202" s="153"/>
      <c r="BC202" s="154"/>
      <c r="BD202" s="99"/>
      <c r="BE202" s="154"/>
      <c r="BF202" s="99"/>
      <c r="BG202" s="154"/>
      <c r="BH202" s="154"/>
      <c r="BI202" s="337">
        <v>75000</v>
      </c>
      <c r="BJ202" s="338">
        <v>0</v>
      </c>
      <c r="BK202" s="282"/>
    </row>
    <row r="203" spans="1:63" ht="15.75">
      <c r="A203" s="314">
        <v>509882</v>
      </c>
      <c r="B203" s="125" t="s">
        <v>1102</v>
      </c>
      <c r="C203" s="183" t="s">
        <v>1103</v>
      </c>
      <c r="D203" s="163">
        <v>208725</v>
      </c>
      <c r="E203" s="148" t="s">
        <v>1104</v>
      </c>
      <c r="F203" s="148" t="s">
        <v>881</v>
      </c>
      <c r="G203" s="185" t="s">
        <v>68</v>
      </c>
      <c r="H203" s="164" t="s">
        <v>628</v>
      </c>
      <c r="I203" s="163" t="s">
        <v>598</v>
      </c>
      <c r="J203" s="186" t="s">
        <v>1105</v>
      </c>
      <c r="K203" s="187" t="s">
        <v>1106</v>
      </c>
      <c r="L203" s="121" t="s">
        <v>19</v>
      </c>
      <c r="M203" s="168" t="s">
        <v>889</v>
      </c>
      <c r="N203" s="129">
        <v>44044</v>
      </c>
      <c r="O203" s="129">
        <v>44592</v>
      </c>
      <c r="P203" s="129">
        <v>44592</v>
      </c>
      <c r="Q203" s="323">
        <v>41300</v>
      </c>
      <c r="R203" s="319"/>
      <c r="S203" s="324">
        <v>27800</v>
      </c>
      <c r="T203" s="324"/>
      <c r="U203" s="324">
        <v>4500</v>
      </c>
      <c r="V203" s="324"/>
      <c r="W203" s="324">
        <v>9000</v>
      </c>
      <c r="X203" s="324"/>
      <c r="Y203" s="312">
        <v>41300</v>
      </c>
      <c r="Z203" s="325">
        <v>41300</v>
      </c>
      <c r="AA203" s="325">
        <v>0</v>
      </c>
      <c r="AB203" s="326"/>
      <c r="AC203" s="324"/>
      <c r="AD203" s="324"/>
      <c r="AE203" s="324"/>
      <c r="AF203" s="324"/>
      <c r="AG203" s="324"/>
      <c r="AH203" s="324"/>
      <c r="AI203" s="312">
        <v>0</v>
      </c>
      <c r="AJ203" s="327">
        <v>0</v>
      </c>
      <c r="AK203" s="327">
        <v>0</v>
      </c>
      <c r="AL203" s="328"/>
      <c r="AM203" s="324"/>
      <c r="AN203" s="324"/>
      <c r="AO203" s="324"/>
      <c r="AP203" s="324"/>
      <c r="AQ203" s="324"/>
      <c r="AR203" s="324"/>
      <c r="AS203" s="293">
        <v>0</v>
      </c>
      <c r="AT203" s="327">
        <v>0</v>
      </c>
      <c r="AU203" s="327">
        <v>0</v>
      </c>
      <c r="AV203" s="328"/>
      <c r="AW203" s="279"/>
      <c r="AX203" s="279"/>
      <c r="AY203" s="279"/>
      <c r="AZ203" s="279"/>
      <c r="BA203" s="279"/>
      <c r="BB203" s="279"/>
      <c r="BC203" s="293"/>
      <c r="BD203" s="319"/>
      <c r="BE203" s="293"/>
      <c r="BF203" s="319"/>
      <c r="BG203" s="293"/>
      <c r="BH203" s="293"/>
      <c r="BI203" s="337">
        <v>41300</v>
      </c>
      <c r="BJ203" s="338">
        <v>0</v>
      </c>
      <c r="BK203" s="126"/>
    </row>
    <row r="204" spans="1:63" ht="15.75">
      <c r="A204" s="314">
        <v>501380</v>
      </c>
      <c r="B204" s="125" t="s">
        <v>1107</v>
      </c>
      <c r="C204" s="124" t="s">
        <v>71</v>
      </c>
      <c r="D204" s="126">
        <v>208728</v>
      </c>
      <c r="E204" s="148" t="s">
        <v>1108</v>
      </c>
      <c r="F204" s="148" t="s">
        <v>608</v>
      </c>
      <c r="G204" s="127" t="s">
        <v>53</v>
      </c>
      <c r="H204" s="123" t="s">
        <v>597</v>
      </c>
      <c r="I204" s="126" t="s">
        <v>598</v>
      </c>
      <c r="J204" s="126" t="s">
        <v>645</v>
      </c>
      <c r="K204" s="128" t="s">
        <v>666</v>
      </c>
      <c r="L204" s="121" t="s">
        <v>515</v>
      </c>
      <c r="M204" s="123" t="s">
        <v>982</v>
      </c>
      <c r="N204" s="129">
        <v>42614</v>
      </c>
      <c r="O204" s="129">
        <v>44104</v>
      </c>
      <c r="P204" s="129">
        <v>44149</v>
      </c>
      <c r="Q204" s="330">
        <v>53170</v>
      </c>
      <c r="R204" s="331"/>
      <c r="S204" s="324">
        <v>0</v>
      </c>
      <c r="T204" s="324">
        <v>0</v>
      </c>
      <c r="U204" s="324">
        <v>0</v>
      </c>
      <c r="V204" s="324"/>
      <c r="W204" s="324">
        <v>0</v>
      </c>
      <c r="X204" s="324">
        <v>5000</v>
      </c>
      <c r="Y204" s="312">
        <v>5000</v>
      </c>
      <c r="Z204" s="325">
        <v>5000</v>
      </c>
      <c r="AA204" s="325">
        <v>0</v>
      </c>
      <c r="AB204" s="326"/>
      <c r="AC204" s="324">
        <v>14154.72</v>
      </c>
      <c r="AD204" s="324">
        <v>339.71</v>
      </c>
      <c r="AE204" s="324">
        <v>6171.46</v>
      </c>
      <c r="AF204" s="324">
        <v>3419.1</v>
      </c>
      <c r="AG204" s="324">
        <v>0</v>
      </c>
      <c r="AH204" s="324"/>
      <c r="AI204" s="312">
        <v>24085</v>
      </c>
      <c r="AJ204" s="327">
        <v>24084.989999999998</v>
      </c>
      <c r="AK204" s="327">
        <v>-1.0000000002037268E-2</v>
      </c>
      <c r="AL204" s="328"/>
      <c r="AM204" s="279">
        <v>14154.72</v>
      </c>
      <c r="AN204" s="279">
        <v>339.72</v>
      </c>
      <c r="AO204" s="279">
        <v>6171.46</v>
      </c>
      <c r="AP204" s="279"/>
      <c r="AQ204" s="279">
        <v>3419.1</v>
      </c>
      <c r="AR204" s="279">
        <v>0</v>
      </c>
      <c r="AS204" s="293">
        <v>24085</v>
      </c>
      <c r="AT204" s="327">
        <v>24084.999999999996</v>
      </c>
      <c r="AU204" s="327">
        <v>0</v>
      </c>
      <c r="AV204" s="328"/>
      <c r="AW204" s="279"/>
      <c r="AX204" s="279"/>
      <c r="AY204" s="279"/>
      <c r="AZ204" s="279"/>
      <c r="BA204" s="279"/>
      <c r="BB204" s="279"/>
      <c r="BC204" s="293"/>
      <c r="BD204" s="319"/>
      <c r="BE204" s="293"/>
      <c r="BF204" s="319"/>
      <c r="BG204" s="293"/>
      <c r="BH204" s="293"/>
      <c r="BI204" s="337">
        <v>53170</v>
      </c>
      <c r="BJ204" s="338">
        <v>0</v>
      </c>
      <c r="BK204" s="280"/>
    </row>
    <row r="205" spans="1:63" ht="15.75">
      <c r="A205" s="314">
        <v>502068</v>
      </c>
      <c r="B205" s="125" t="s">
        <v>1107</v>
      </c>
      <c r="C205" s="124" t="s">
        <v>71</v>
      </c>
      <c r="D205" s="126">
        <v>208728</v>
      </c>
      <c r="E205" s="148" t="s">
        <v>1108</v>
      </c>
      <c r="F205" s="148" t="s">
        <v>608</v>
      </c>
      <c r="G205" s="127" t="s">
        <v>53</v>
      </c>
      <c r="H205" s="123" t="s">
        <v>597</v>
      </c>
      <c r="I205" s="126" t="s">
        <v>598</v>
      </c>
      <c r="J205" s="126" t="s">
        <v>645</v>
      </c>
      <c r="K205" s="128" t="s">
        <v>666</v>
      </c>
      <c r="L205" s="123" t="s">
        <v>732</v>
      </c>
      <c r="M205" s="123" t="s">
        <v>733</v>
      </c>
      <c r="N205" s="129">
        <v>43126</v>
      </c>
      <c r="O205" s="129">
        <v>43190</v>
      </c>
      <c r="P205" s="129">
        <v>43190</v>
      </c>
      <c r="Q205" s="330">
        <v>127850</v>
      </c>
      <c r="R205" s="331"/>
      <c r="S205" s="324">
        <v>49750</v>
      </c>
      <c r="T205" s="324">
        <v>0</v>
      </c>
      <c r="U205" s="324">
        <v>15600</v>
      </c>
      <c r="V205" s="324"/>
      <c r="W205" s="324">
        <v>62500</v>
      </c>
      <c r="X205" s="324"/>
      <c r="Y205" s="312">
        <v>127850</v>
      </c>
      <c r="Z205" s="325">
        <v>127850</v>
      </c>
      <c r="AA205" s="325">
        <v>0</v>
      </c>
      <c r="AB205" s="326"/>
      <c r="AC205" s="324" t="s">
        <v>602</v>
      </c>
      <c r="AD205" s="324" t="s">
        <v>602</v>
      </c>
      <c r="AE205" s="324" t="s">
        <v>602</v>
      </c>
      <c r="AF205" s="324" t="s">
        <v>602</v>
      </c>
      <c r="AG205" s="324" t="s">
        <v>602</v>
      </c>
      <c r="AH205" s="324"/>
      <c r="AI205" s="312">
        <v>0</v>
      </c>
      <c r="AJ205" s="327">
        <v>0</v>
      </c>
      <c r="AK205" s="327">
        <v>0</v>
      </c>
      <c r="AL205" s="328"/>
      <c r="AM205" s="324">
        <v>0</v>
      </c>
      <c r="AN205" s="324">
        <v>0</v>
      </c>
      <c r="AO205" s="324">
        <v>0</v>
      </c>
      <c r="AP205" s="324">
        <v>0</v>
      </c>
      <c r="AQ205" s="324">
        <v>0</v>
      </c>
      <c r="AR205" s="324">
        <v>0</v>
      </c>
      <c r="AS205" s="293">
        <v>0</v>
      </c>
      <c r="AT205" s="327">
        <v>0</v>
      </c>
      <c r="AU205" s="327">
        <v>0</v>
      </c>
      <c r="AV205" s="328"/>
      <c r="AW205" s="324" t="s">
        <v>602</v>
      </c>
      <c r="AX205" s="324" t="s">
        <v>602</v>
      </c>
      <c r="AY205" s="324" t="s">
        <v>602</v>
      </c>
      <c r="AZ205" s="324" t="s">
        <v>602</v>
      </c>
      <c r="BA205" s="324"/>
      <c r="BB205" s="324" t="s">
        <v>602</v>
      </c>
      <c r="BC205" s="293">
        <v>0</v>
      </c>
      <c r="BD205" s="319"/>
      <c r="BE205" s="293"/>
      <c r="BF205" s="319"/>
      <c r="BG205" s="293"/>
      <c r="BH205" s="293"/>
      <c r="BI205" s="337">
        <v>127850</v>
      </c>
      <c r="BJ205" s="338">
        <v>0</v>
      </c>
      <c r="BK205" s="124" t="s">
        <v>1109</v>
      </c>
    </row>
    <row r="206" spans="1:63" ht="15.75">
      <c r="A206" s="380">
        <v>507637</v>
      </c>
      <c r="B206" s="124" t="s">
        <v>1107</v>
      </c>
      <c r="C206" s="124" t="s">
        <v>71</v>
      </c>
      <c r="D206" s="126">
        <v>208728</v>
      </c>
      <c r="E206" s="124" t="s">
        <v>1108</v>
      </c>
      <c r="F206" s="124" t="s">
        <v>608</v>
      </c>
      <c r="G206" s="127" t="s">
        <v>53</v>
      </c>
      <c r="H206" s="126" t="s">
        <v>597</v>
      </c>
      <c r="I206" s="126" t="s">
        <v>598</v>
      </c>
      <c r="J206" s="126" t="s">
        <v>645</v>
      </c>
      <c r="K206" s="169" t="s">
        <v>754</v>
      </c>
      <c r="L206" s="121" t="s">
        <v>519</v>
      </c>
      <c r="M206" s="123" t="s">
        <v>736</v>
      </c>
      <c r="N206" s="129">
        <v>43709</v>
      </c>
      <c r="O206" s="129">
        <v>44895</v>
      </c>
      <c r="P206" s="129">
        <v>44895</v>
      </c>
      <c r="Q206" s="323">
        <v>1134300</v>
      </c>
      <c r="R206" s="319"/>
      <c r="S206" s="324">
        <v>105000</v>
      </c>
      <c r="T206" s="324"/>
      <c r="U206" s="324">
        <v>273100</v>
      </c>
      <c r="V206" s="324"/>
      <c r="W206" s="324"/>
      <c r="X206" s="324"/>
      <c r="Y206" s="312">
        <v>378100</v>
      </c>
      <c r="Z206" s="325">
        <v>378100</v>
      </c>
      <c r="AA206" s="325">
        <v>0</v>
      </c>
      <c r="AB206" s="326"/>
      <c r="AC206" s="324">
        <v>105000</v>
      </c>
      <c r="AD206" s="324"/>
      <c r="AE206" s="324">
        <v>273100</v>
      </c>
      <c r="AF206" s="324"/>
      <c r="AG206" s="324"/>
      <c r="AH206" s="324"/>
      <c r="AI206" s="312">
        <v>378100</v>
      </c>
      <c r="AJ206" s="327">
        <v>378100</v>
      </c>
      <c r="AK206" s="327">
        <v>0</v>
      </c>
      <c r="AL206" s="328"/>
      <c r="AM206" s="324">
        <v>105000</v>
      </c>
      <c r="AN206" s="324"/>
      <c r="AO206" s="324">
        <v>273100</v>
      </c>
      <c r="AP206" s="324"/>
      <c r="AQ206" s="324"/>
      <c r="AR206" s="324"/>
      <c r="AS206" s="293">
        <v>378100</v>
      </c>
      <c r="AT206" s="327">
        <v>378100</v>
      </c>
      <c r="AU206" s="327">
        <v>0</v>
      </c>
      <c r="AV206" s="328"/>
      <c r="AW206" s="279"/>
      <c r="AX206" s="279"/>
      <c r="AY206" s="279"/>
      <c r="AZ206" s="279"/>
      <c r="BA206" s="279"/>
      <c r="BB206" s="279"/>
      <c r="BC206" s="293"/>
      <c r="BD206" s="319"/>
      <c r="BE206" s="293"/>
      <c r="BF206" s="319"/>
      <c r="BG206" s="293"/>
      <c r="BH206" s="293"/>
      <c r="BI206" s="337">
        <v>1134300</v>
      </c>
      <c r="BJ206" s="338">
        <v>0</v>
      </c>
      <c r="BK206" s="126"/>
    </row>
    <row r="207" spans="1:63" ht="15.75">
      <c r="A207" s="314">
        <v>511440</v>
      </c>
      <c r="B207" s="125" t="s">
        <v>1107</v>
      </c>
      <c r="C207" s="124" t="s">
        <v>71</v>
      </c>
      <c r="D207" s="126">
        <v>208728</v>
      </c>
      <c r="E207" s="170" t="s">
        <v>1108</v>
      </c>
      <c r="F207" s="148" t="s">
        <v>608</v>
      </c>
      <c r="G207" s="127" t="s">
        <v>53</v>
      </c>
      <c r="H207" s="149" t="s">
        <v>597</v>
      </c>
      <c r="I207" s="126" t="s">
        <v>598</v>
      </c>
      <c r="J207" s="126" t="s">
        <v>645</v>
      </c>
      <c r="K207" s="169" t="s">
        <v>754</v>
      </c>
      <c r="L207" s="121" t="s">
        <v>521</v>
      </c>
      <c r="M207" s="123" t="s">
        <v>1110</v>
      </c>
      <c r="N207" s="129">
        <v>44075</v>
      </c>
      <c r="O207" s="129">
        <v>44804</v>
      </c>
      <c r="P207" s="129">
        <v>44804</v>
      </c>
      <c r="Q207" s="330">
        <v>25000</v>
      </c>
      <c r="R207" s="324"/>
      <c r="S207" s="324">
        <v>12500</v>
      </c>
      <c r="T207" s="324"/>
      <c r="U207" s="324"/>
      <c r="V207" s="324"/>
      <c r="W207" s="324"/>
      <c r="X207" s="324"/>
      <c r="Y207" s="312">
        <v>12500</v>
      </c>
      <c r="Z207" s="325">
        <v>12500</v>
      </c>
      <c r="AA207" s="325">
        <v>0</v>
      </c>
      <c r="AB207" s="326"/>
      <c r="AC207" s="324">
        <v>12500</v>
      </c>
      <c r="AD207" s="324"/>
      <c r="AE207" s="324"/>
      <c r="AF207" s="324"/>
      <c r="AG207" s="324"/>
      <c r="AH207" s="324"/>
      <c r="AI207" s="312">
        <v>12500</v>
      </c>
      <c r="AJ207" s="327">
        <v>12500</v>
      </c>
      <c r="AK207" s="327">
        <v>0</v>
      </c>
      <c r="AL207" s="328"/>
      <c r="AM207" s="324"/>
      <c r="AN207" s="324"/>
      <c r="AO207" s="324"/>
      <c r="AP207" s="324"/>
      <c r="AQ207" s="324"/>
      <c r="AR207" s="279"/>
      <c r="AS207" s="293">
        <v>0</v>
      </c>
      <c r="AT207" s="327">
        <v>0</v>
      </c>
      <c r="AU207" s="327">
        <v>0</v>
      </c>
      <c r="AV207" s="328"/>
      <c r="AW207" s="324"/>
      <c r="AX207" s="324"/>
      <c r="AY207" s="324"/>
      <c r="AZ207" s="324"/>
      <c r="BA207" s="324"/>
      <c r="BB207" s="324"/>
      <c r="BC207" s="293"/>
      <c r="BD207" s="319"/>
      <c r="BE207" s="293"/>
      <c r="BF207" s="319"/>
      <c r="BG207" s="293"/>
      <c r="BH207" s="293"/>
      <c r="BI207" s="337">
        <v>25000</v>
      </c>
      <c r="BJ207" s="338">
        <v>0</v>
      </c>
      <c r="BK207" s="165"/>
    </row>
    <row r="208" spans="1:63" ht="15.75">
      <c r="A208" s="314">
        <v>512029</v>
      </c>
      <c r="B208" s="125" t="s">
        <v>1107</v>
      </c>
      <c r="C208" s="124" t="s">
        <v>71</v>
      </c>
      <c r="D208" s="126">
        <v>208728</v>
      </c>
      <c r="E208" s="148" t="s">
        <v>1108</v>
      </c>
      <c r="F208" s="148" t="s">
        <v>608</v>
      </c>
      <c r="G208" s="127" t="s">
        <v>53</v>
      </c>
      <c r="H208" s="123" t="s">
        <v>628</v>
      </c>
      <c r="I208" s="126" t="s">
        <v>598</v>
      </c>
      <c r="J208" s="126" t="s">
        <v>645</v>
      </c>
      <c r="K208" s="128" t="s">
        <v>666</v>
      </c>
      <c r="L208" s="121" t="s">
        <v>5</v>
      </c>
      <c r="M208" s="123" t="s">
        <v>1057</v>
      </c>
      <c r="N208" s="129">
        <v>44287</v>
      </c>
      <c r="O208" s="129">
        <v>44651</v>
      </c>
      <c r="P208" s="129">
        <v>44651</v>
      </c>
      <c r="Q208" s="330">
        <v>55000</v>
      </c>
      <c r="R208" s="324"/>
      <c r="S208" s="324">
        <v>30000</v>
      </c>
      <c r="T208" s="324">
        <v>0</v>
      </c>
      <c r="U208" s="324">
        <v>25000</v>
      </c>
      <c r="V208" s="324">
        <v>0</v>
      </c>
      <c r="W208" s="324">
        <v>0</v>
      </c>
      <c r="X208" s="324"/>
      <c r="Y208" s="312">
        <v>55000</v>
      </c>
      <c r="Z208" s="325">
        <v>55000</v>
      </c>
      <c r="AA208" s="325">
        <v>0</v>
      </c>
      <c r="AB208" s="326"/>
      <c r="AC208" s="324">
        <v>30000</v>
      </c>
      <c r="AD208" s="324">
        <v>0</v>
      </c>
      <c r="AE208" s="324">
        <v>30000</v>
      </c>
      <c r="AF208" s="324">
        <v>0</v>
      </c>
      <c r="AG208" s="324">
        <v>0</v>
      </c>
      <c r="AH208" s="324">
        <v>0</v>
      </c>
      <c r="AI208" s="312">
        <v>60000</v>
      </c>
      <c r="AJ208" s="327">
        <v>60000</v>
      </c>
      <c r="AK208" s="327">
        <v>0</v>
      </c>
      <c r="AL208" s="328"/>
      <c r="AM208" s="324"/>
      <c r="AN208" s="324"/>
      <c r="AO208" s="324"/>
      <c r="AP208" s="324"/>
      <c r="AQ208" s="324"/>
      <c r="AR208" s="279"/>
      <c r="AS208" s="293"/>
      <c r="AT208" s="327"/>
      <c r="AU208" s="327"/>
      <c r="AV208" s="328"/>
      <c r="AW208" s="324"/>
      <c r="AX208" s="324"/>
      <c r="AY208" s="324"/>
      <c r="AZ208" s="324"/>
      <c r="BA208" s="324"/>
      <c r="BB208" s="324"/>
      <c r="BC208" s="293"/>
      <c r="BD208" s="319"/>
      <c r="BE208" s="293"/>
      <c r="BF208" s="319"/>
      <c r="BG208" s="293"/>
      <c r="BH208" s="293"/>
      <c r="BI208" s="337">
        <v>115000</v>
      </c>
      <c r="BJ208" s="338">
        <v>60000</v>
      </c>
      <c r="BK208" s="165"/>
    </row>
    <row r="209" spans="1:63" ht="15.75">
      <c r="A209" s="314">
        <v>512729</v>
      </c>
      <c r="B209" s="125" t="s">
        <v>1107</v>
      </c>
      <c r="C209" s="124" t="s">
        <v>71</v>
      </c>
      <c r="D209" s="126">
        <v>208728</v>
      </c>
      <c r="E209" s="148" t="s">
        <v>1108</v>
      </c>
      <c r="F209" s="148" t="s">
        <v>608</v>
      </c>
      <c r="G209" s="127" t="s">
        <v>53</v>
      </c>
      <c r="H209" s="123" t="s">
        <v>628</v>
      </c>
      <c r="I209" s="126" t="s">
        <v>598</v>
      </c>
      <c r="J209" s="126" t="s">
        <v>645</v>
      </c>
      <c r="K209" s="128" t="s">
        <v>666</v>
      </c>
      <c r="L209" s="123" t="s">
        <v>685</v>
      </c>
      <c r="M209" s="123" t="s">
        <v>686</v>
      </c>
      <c r="N209" s="129">
        <v>44409</v>
      </c>
      <c r="O209" s="129">
        <v>44773</v>
      </c>
      <c r="P209" s="129">
        <v>44773</v>
      </c>
      <c r="Q209" s="330">
        <v>82500</v>
      </c>
      <c r="R209" s="331"/>
      <c r="S209" s="324">
        <v>9500</v>
      </c>
      <c r="T209" s="324">
        <v>0</v>
      </c>
      <c r="U209" s="324">
        <v>73000</v>
      </c>
      <c r="V209" s="324">
        <v>0</v>
      </c>
      <c r="W209" s="324">
        <v>0</v>
      </c>
      <c r="X209" s="324">
        <v>0</v>
      </c>
      <c r="Y209" s="312">
        <v>82500</v>
      </c>
      <c r="Z209" s="325">
        <v>82500</v>
      </c>
      <c r="AA209" s="325">
        <v>0</v>
      </c>
      <c r="AB209" s="326"/>
      <c r="AC209" s="324"/>
      <c r="AD209" s="324"/>
      <c r="AE209" s="324"/>
      <c r="AF209" s="324"/>
      <c r="AG209" s="324"/>
      <c r="AH209" s="324"/>
      <c r="AI209" s="312"/>
      <c r="AJ209" s="327"/>
      <c r="AK209" s="327"/>
      <c r="AL209" s="328"/>
      <c r="AM209" s="324"/>
      <c r="AN209" s="324"/>
      <c r="AO209" s="324"/>
      <c r="AP209" s="324"/>
      <c r="AQ209" s="324"/>
      <c r="AR209" s="324"/>
      <c r="AS209" s="293"/>
      <c r="AT209" s="327"/>
      <c r="AU209" s="327"/>
      <c r="AV209" s="328"/>
      <c r="AW209" s="324"/>
      <c r="AX209" s="324"/>
      <c r="AY209" s="324"/>
      <c r="AZ209" s="324"/>
      <c r="BA209" s="324"/>
      <c r="BB209" s="324"/>
      <c r="BC209" s="293"/>
      <c r="BD209" s="319"/>
      <c r="BE209" s="293"/>
      <c r="BF209" s="319"/>
      <c r="BG209" s="293"/>
      <c r="BH209" s="293"/>
      <c r="BI209" s="337">
        <v>82500</v>
      </c>
      <c r="BJ209" s="338">
        <v>0</v>
      </c>
      <c r="BK209" s="124"/>
    </row>
    <row r="210" spans="1:63" ht="15.75">
      <c r="A210" s="314">
        <v>501333</v>
      </c>
      <c r="B210" s="125" t="s">
        <v>1111</v>
      </c>
      <c r="C210" s="124" t="s">
        <v>1112</v>
      </c>
      <c r="D210" s="126">
        <v>208748</v>
      </c>
      <c r="E210" s="124" t="s">
        <v>1113</v>
      </c>
      <c r="F210" s="124" t="s">
        <v>608</v>
      </c>
      <c r="G210" s="127" t="s">
        <v>68</v>
      </c>
      <c r="H210" s="126" t="s">
        <v>628</v>
      </c>
      <c r="I210" s="126" t="s">
        <v>598</v>
      </c>
      <c r="J210" s="126" t="s">
        <v>888</v>
      </c>
      <c r="K210" s="128" t="s">
        <v>731</v>
      </c>
      <c r="L210" s="121" t="s">
        <v>515</v>
      </c>
      <c r="M210" s="123" t="s">
        <v>797</v>
      </c>
      <c r="N210" s="129">
        <v>42614</v>
      </c>
      <c r="O210" s="129">
        <v>43830</v>
      </c>
      <c r="P210" s="129">
        <v>44144</v>
      </c>
      <c r="Q210" s="323">
        <v>135000</v>
      </c>
      <c r="R210" s="319"/>
      <c r="S210" s="324">
        <v>45000</v>
      </c>
      <c r="T210" s="324">
        <v>0</v>
      </c>
      <c r="U210" s="324">
        <v>0</v>
      </c>
      <c r="V210" s="324"/>
      <c r="W210" s="324">
        <v>0</v>
      </c>
      <c r="X210" s="324">
        <v>0</v>
      </c>
      <c r="Y210" s="312">
        <v>45000</v>
      </c>
      <c r="Z210" s="325">
        <v>45000</v>
      </c>
      <c r="AA210" s="325">
        <v>0</v>
      </c>
      <c r="AB210" s="326"/>
      <c r="AC210" s="324">
        <v>45000</v>
      </c>
      <c r="AD210" s="324">
        <v>0</v>
      </c>
      <c r="AE210" s="324">
        <v>0</v>
      </c>
      <c r="AF210" s="324">
        <v>0</v>
      </c>
      <c r="AG210" s="324">
        <v>0</v>
      </c>
      <c r="AH210" s="324"/>
      <c r="AI210" s="312">
        <v>45000</v>
      </c>
      <c r="AJ210" s="327">
        <v>45000</v>
      </c>
      <c r="AK210" s="327">
        <v>0</v>
      </c>
      <c r="AL210" s="328"/>
      <c r="AM210" s="279">
        <v>45000</v>
      </c>
      <c r="AN210" s="279">
        <v>0</v>
      </c>
      <c r="AO210" s="279">
        <v>0</v>
      </c>
      <c r="AP210" s="279"/>
      <c r="AQ210" s="279">
        <v>0</v>
      </c>
      <c r="AR210" s="279">
        <v>0</v>
      </c>
      <c r="AS210" s="293">
        <v>45000</v>
      </c>
      <c r="AT210" s="327">
        <v>45000</v>
      </c>
      <c r="AU210" s="327">
        <v>0</v>
      </c>
      <c r="AV210" s="328"/>
      <c r="AW210" s="279"/>
      <c r="AX210" s="279"/>
      <c r="AY210" s="279"/>
      <c r="AZ210" s="279"/>
      <c r="BA210" s="279"/>
      <c r="BB210" s="279"/>
      <c r="BC210" s="293"/>
      <c r="BD210" s="319"/>
      <c r="BE210" s="293"/>
      <c r="BF210" s="319"/>
      <c r="BG210" s="293"/>
      <c r="BH210" s="293"/>
      <c r="BI210" s="337">
        <v>135000</v>
      </c>
      <c r="BJ210" s="338">
        <v>0</v>
      </c>
      <c r="BK210" s="126"/>
    </row>
    <row r="211" spans="1:63" ht="15.75">
      <c r="A211" s="314">
        <v>501343</v>
      </c>
      <c r="B211" s="125" t="s">
        <v>1114</v>
      </c>
      <c r="C211" s="124" t="s">
        <v>335</v>
      </c>
      <c r="D211" s="126">
        <v>208750</v>
      </c>
      <c r="E211" s="124" t="s">
        <v>1115</v>
      </c>
      <c r="F211" s="124" t="s">
        <v>1116</v>
      </c>
      <c r="G211" s="127" t="s">
        <v>53</v>
      </c>
      <c r="H211" s="126" t="s">
        <v>628</v>
      </c>
      <c r="I211" s="126" t="s">
        <v>609</v>
      </c>
      <c r="J211" s="126" t="s">
        <v>610</v>
      </c>
      <c r="K211" s="128" t="s">
        <v>611</v>
      </c>
      <c r="L211" s="121" t="s">
        <v>515</v>
      </c>
      <c r="M211" s="123" t="s">
        <v>1054</v>
      </c>
      <c r="N211" s="129">
        <v>42614</v>
      </c>
      <c r="O211" s="129">
        <v>43708</v>
      </c>
      <c r="P211" s="129">
        <v>43708</v>
      </c>
      <c r="Q211" s="323">
        <v>185175</v>
      </c>
      <c r="R211" s="319"/>
      <c r="S211" s="324">
        <v>20000</v>
      </c>
      <c r="T211" s="324">
        <v>0</v>
      </c>
      <c r="U211" s="324">
        <v>34000</v>
      </c>
      <c r="V211" s="324"/>
      <c r="W211" s="324">
        <v>7725</v>
      </c>
      <c r="X211" s="324">
        <v>0</v>
      </c>
      <c r="Y211" s="312">
        <v>61725</v>
      </c>
      <c r="Z211" s="325">
        <v>61725</v>
      </c>
      <c r="AA211" s="325">
        <v>0</v>
      </c>
      <c r="AB211" s="326"/>
      <c r="AC211" s="324">
        <v>20000</v>
      </c>
      <c r="AD211" s="324">
        <v>0</v>
      </c>
      <c r="AE211" s="324">
        <v>34000</v>
      </c>
      <c r="AF211" s="324">
        <v>7725</v>
      </c>
      <c r="AG211" s="324">
        <v>0</v>
      </c>
      <c r="AH211" s="324"/>
      <c r="AI211" s="312">
        <v>61725</v>
      </c>
      <c r="AJ211" s="327">
        <v>61725</v>
      </c>
      <c r="AK211" s="327">
        <v>0</v>
      </c>
      <c r="AL211" s="328"/>
      <c r="AM211" s="279">
        <v>20000</v>
      </c>
      <c r="AN211" s="279">
        <v>0</v>
      </c>
      <c r="AO211" s="279">
        <v>34000</v>
      </c>
      <c r="AP211" s="279"/>
      <c r="AQ211" s="279">
        <v>7725</v>
      </c>
      <c r="AR211" s="279">
        <v>0</v>
      </c>
      <c r="AS211" s="293">
        <v>61725</v>
      </c>
      <c r="AT211" s="327">
        <v>61725</v>
      </c>
      <c r="AU211" s="327">
        <v>0</v>
      </c>
      <c r="AV211" s="328"/>
      <c r="AW211" s="279"/>
      <c r="AX211" s="279"/>
      <c r="AY211" s="279"/>
      <c r="AZ211" s="279"/>
      <c r="BA211" s="279"/>
      <c r="BB211" s="279"/>
      <c r="BC211" s="293"/>
      <c r="BD211" s="319"/>
      <c r="BE211" s="293"/>
      <c r="BF211" s="319"/>
      <c r="BG211" s="293"/>
      <c r="BH211" s="293"/>
      <c r="BI211" s="337">
        <v>185175</v>
      </c>
      <c r="BJ211" s="338">
        <v>0</v>
      </c>
      <c r="BK211" s="126"/>
    </row>
    <row r="212" spans="1:63" ht="15.75">
      <c r="A212" s="314">
        <v>507779</v>
      </c>
      <c r="B212" s="125" t="s">
        <v>1114</v>
      </c>
      <c r="C212" s="124" t="s">
        <v>335</v>
      </c>
      <c r="D212" s="126">
        <v>208750</v>
      </c>
      <c r="E212" s="124" t="s">
        <v>1115</v>
      </c>
      <c r="F212" s="124" t="s">
        <v>1116</v>
      </c>
      <c r="G212" s="127" t="s">
        <v>53</v>
      </c>
      <c r="H212" s="126" t="s">
        <v>628</v>
      </c>
      <c r="I212" s="126" t="s">
        <v>609</v>
      </c>
      <c r="J212" s="126" t="s">
        <v>610</v>
      </c>
      <c r="K212" s="128" t="s">
        <v>611</v>
      </c>
      <c r="L212" s="121" t="s">
        <v>519</v>
      </c>
      <c r="M212" s="123" t="s">
        <v>641</v>
      </c>
      <c r="N212" s="129">
        <v>43709</v>
      </c>
      <c r="O212" s="129">
        <v>44895</v>
      </c>
      <c r="P212" s="129">
        <v>44895</v>
      </c>
      <c r="Q212" s="323">
        <v>210000</v>
      </c>
      <c r="R212" s="319"/>
      <c r="S212" s="324">
        <v>20000</v>
      </c>
      <c r="T212" s="324">
        <v>0</v>
      </c>
      <c r="U212" s="324">
        <v>40000</v>
      </c>
      <c r="V212" s="324"/>
      <c r="W212" s="324">
        <v>10000</v>
      </c>
      <c r="X212" s="324"/>
      <c r="Y212" s="312">
        <v>70000</v>
      </c>
      <c r="Z212" s="325">
        <v>70000</v>
      </c>
      <c r="AA212" s="325">
        <v>0</v>
      </c>
      <c r="AB212" s="326"/>
      <c r="AC212" s="324">
        <v>20000</v>
      </c>
      <c r="AD212" s="324">
        <v>0</v>
      </c>
      <c r="AE212" s="324">
        <v>40000</v>
      </c>
      <c r="AF212" s="324">
        <v>0</v>
      </c>
      <c r="AG212" s="324">
        <v>10000</v>
      </c>
      <c r="AH212" s="324">
        <v>0</v>
      </c>
      <c r="AI212" s="312">
        <v>70000</v>
      </c>
      <c r="AJ212" s="327">
        <v>70000</v>
      </c>
      <c r="AK212" s="327">
        <v>0</v>
      </c>
      <c r="AL212" s="328"/>
      <c r="AM212" s="324">
        <v>20000</v>
      </c>
      <c r="AN212" s="324">
        <v>0</v>
      </c>
      <c r="AO212" s="324">
        <v>40000</v>
      </c>
      <c r="AP212" s="324">
        <v>0</v>
      </c>
      <c r="AQ212" s="324">
        <v>10000</v>
      </c>
      <c r="AR212" s="324">
        <v>0</v>
      </c>
      <c r="AS212" s="293">
        <v>70000</v>
      </c>
      <c r="AT212" s="327">
        <v>70000</v>
      </c>
      <c r="AU212" s="327">
        <v>0</v>
      </c>
      <c r="AV212" s="328"/>
      <c r="AW212" s="279"/>
      <c r="AX212" s="279"/>
      <c r="AY212" s="279"/>
      <c r="AZ212" s="279"/>
      <c r="BA212" s="279"/>
      <c r="BB212" s="279"/>
      <c r="BC212" s="293"/>
      <c r="BD212" s="319"/>
      <c r="BE212" s="293"/>
      <c r="BF212" s="319"/>
      <c r="BG212" s="293"/>
      <c r="BH212" s="293"/>
      <c r="BI212" s="337">
        <v>210000</v>
      </c>
      <c r="BJ212" s="338">
        <v>0</v>
      </c>
      <c r="BK212" s="126"/>
    </row>
    <row r="213" spans="1:63" ht="15.75">
      <c r="A213" s="314">
        <v>501344</v>
      </c>
      <c r="B213" s="125" t="s">
        <v>1117</v>
      </c>
      <c r="C213" s="124" t="s">
        <v>1118</v>
      </c>
      <c r="D213" s="126">
        <v>208807</v>
      </c>
      <c r="E213" s="121" t="s">
        <v>1119</v>
      </c>
      <c r="F213" s="121" t="s">
        <v>1120</v>
      </c>
      <c r="G213" s="127" t="s">
        <v>68</v>
      </c>
      <c r="H213" s="123" t="s">
        <v>628</v>
      </c>
      <c r="I213" s="126" t="s">
        <v>598</v>
      </c>
      <c r="J213" s="126" t="s">
        <v>672</v>
      </c>
      <c r="K213" s="128" t="s">
        <v>673</v>
      </c>
      <c r="L213" s="121" t="s">
        <v>515</v>
      </c>
      <c r="M213" s="143" t="s">
        <v>667</v>
      </c>
      <c r="N213" s="129">
        <v>42614</v>
      </c>
      <c r="O213" s="129">
        <v>43708</v>
      </c>
      <c r="P213" s="129">
        <v>43708</v>
      </c>
      <c r="Q213" s="330">
        <v>225000</v>
      </c>
      <c r="R213" s="331"/>
      <c r="S213" s="324">
        <v>47943</v>
      </c>
      <c r="T213" s="324">
        <v>0</v>
      </c>
      <c r="U213" s="324">
        <v>27057</v>
      </c>
      <c r="V213" s="324"/>
      <c r="W213" s="324">
        <v>0</v>
      </c>
      <c r="X213" s="324">
        <v>0</v>
      </c>
      <c r="Y213" s="312">
        <v>75000</v>
      </c>
      <c r="Z213" s="325">
        <v>75000</v>
      </c>
      <c r="AA213" s="325">
        <v>0</v>
      </c>
      <c r="AB213" s="326"/>
      <c r="AC213" s="324">
        <v>48607</v>
      </c>
      <c r="AD213" s="324">
        <v>0</v>
      </c>
      <c r="AE213" s="324">
        <v>26393</v>
      </c>
      <c r="AF213" s="324">
        <v>0</v>
      </c>
      <c r="AG213" s="324">
        <v>0</v>
      </c>
      <c r="AH213" s="324"/>
      <c r="AI213" s="312">
        <v>75000</v>
      </c>
      <c r="AJ213" s="327">
        <v>75000</v>
      </c>
      <c r="AK213" s="327">
        <v>0</v>
      </c>
      <c r="AL213" s="328"/>
      <c r="AM213" s="279">
        <v>49350</v>
      </c>
      <c r="AN213" s="279">
        <v>0</v>
      </c>
      <c r="AO213" s="279">
        <v>25650</v>
      </c>
      <c r="AP213" s="279"/>
      <c r="AQ213" s="279">
        <v>0</v>
      </c>
      <c r="AR213" s="279">
        <v>0</v>
      </c>
      <c r="AS213" s="293">
        <v>75000</v>
      </c>
      <c r="AT213" s="327">
        <v>75000</v>
      </c>
      <c r="AU213" s="327">
        <v>0</v>
      </c>
      <c r="AV213" s="328"/>
      <c r="AW213" s="279"/>
      <c r="AX213" s="279"/>
      <c r="AY213" s="279"/>
      <c r="AZ213" s="279"/>
      <c r="BA213" s="279"/>
      <c r="BB213" s="279"/>
      <c r="BC213" s="293"/>
      <c r="BD213" s="319"/>
      <c r="BE213" s="293"/>
      <c r="BF213" s="319"/>
      <c r="BG213" s="293"/>
      <c r="BH213" s="293"/>
      <c r="BI213" s="337">
        <v>225000</v>
      </c>
      <c r="BJ213" s="338">
        <v>0</v>
      </c>
      <c r="BK213" s="280"/>
    </row>
    <row r="214" spans="1:63" ht="15.75">
      <c r="A214" s="314">
        <v>512403</v>
      </c>
      <c r="B214" s="125" t="s">
        <v>1117</v>
      </c>
      <c r="C214" s="124" t="s">
        <v>1118</v>
      </c>
      <c r="D214" s="126">
        <v>208807</v>
      </c>
      <c r="E214" s="124" t="s">
        <v>1119</v>
      </c>
      <c r="F214" s="124" t="s">
        <v>1120</v>
      </c>
      <c r="G214" s="127" t="s">
        <v>68</v>
      </c>
      <c r="H214" s="126" t="s">
        <v>597</v>
      </c>
      <c r="I214" s="126" t="s">
        <v>598</v>
      </c>
      <c r="J214" s="126" t="s">
        <v>672</v>
      </c>
      <c r="K214" s="128" t="s">
        <v>673</v>
      </c>
      <c r="L214" s="121" t="s">
        <v>10</v>
      </c>
      <c r="M214" s="123" t="s">
        <v>1121</v>
      </c>
      <c r="N214" s="129">
        <v>44013</v>
      </c>
      <c r="O214" s="129">
        <v>44742</v>
      </c>
      <c r="P214" s="129">
        <v>44742</v>
      </c>
      <c r="Q214" s="323">
        <v>150000</v>
      </c>
      <c r="R214" s="319"/>
      <c r="S214" s="324">
        <v>75000</v>
      </c>
      <c r="T214" s="324"/>
      <c r="U214" s="324">
        <v>50000</v>
      </c>
      <c r="V214" s="324"/>
      <c r="W214" s="324">
        <v>10000</v>
      </c>
      <c r="X214" s="324">
        <v>15000</v>
      </c>
      <c r="Y214" s="312">
        <v>150000</v>
      </c>
      <c r="Z214" s="325">
        <v>150000</v>
      </c>
      <c r="AA214" s="325">
        <v>0</v>
      </c>
      <c r="AB214" s="326"/>
      <c r="AC214" s="324">
        <v>75000</v>
      </c>
      <c r="AD214" s="324">
        <v>0</v>
      </c>
      <c r="AE214" s="324">
        <v>50000</v>
      </c>
      <c r="AF214" s="324">
        <v>0</v>
      </c>
      <c r="AG214" s="324">
        <v>10000</v>
      </c>
      <c r="AH214" s="324">
        <v>15000</v>
      </c>
      <c r="AI214" s="312">
        <v>150000</v>
      </c>
      <c r="AJ214" s="327">
        <v>150000</v>
      </c>
      <c r="AK214" s="327">
        <v>0</v>
      </c>
      <c r="AL214" s="328"/>
      <c r="AM214" s="279"/>
      <c r="AN214" s="279"/>
      <c r="AO214" s="279"/>
      <c r="AP214" s="279"/>
      <c r="AQ214" s="279"/>
      <c r="AR214" s="279"/>
      <c r="AS214" s="293">
        <v>0</v>
      </c>
      <c r="AT214" s="327">
        <v>0</v>
      </c>
      <c r="AU214" s="327">
        <v>0</v>
      </c>
      <c r="AV214" s="328"/>
      <c r="AW214" s="279"/>
      <c r="AX214" s="279"/>
      <c r="AY214" s="279"/>
      <c r="AZ214" s="279"/>
      <c r="BA214" s="279"/>
      <c r="BB214" s="279"/>
      <c r="BC214" s="293"/>
      <c r="BD214" s="319"/>
      <c r="BE214" s="293"/>
      <c r="BF214" s="319"/>
      <c r="BG214" s="293"/>
      <c r="BH214" s="293"/>
      <c r="BI214" s="337">
        <v>300000</v>
      </c>
      <c r="BJ214" s="338">
        <v>150000</v>
      </c>
      <c r="BK214" s="126"/>
    </row>
    <row r="215" spans="1:63" ht="15.75">
      <c r="A215" s="314">
        <v>501334</v>
      </c>
      <c r="B215" s="125" t="s">
        <v>1122</v>
      </c>
      <c r="C215" s="124" t="s">
        <v>308</v>
      </c>
      <c r="D215" s="126">
        <v>208808</v>
      </c>
      <c r="E215" s="121" t="s">
        <v>1123</v>
      </c>
      <c r="F215" s="121" t="s">
        <v>1124</v>
      </c>
      <c r="G215" s="127" t="s">
        <v>53</v>
      </c>
      <c r="H215" s="123" t="s">
        <v>628</v>
      </c>
      <c r="I215" s="126" t="s">
        <v>598</v>
      </c>
      <c r="J215" s="126" t="s">
        <v>730</v>
      </c>
      <c r="K215" s="128" t="s">
        <v>735</v>
      </c>
      <c r="L215" s="121" t="s">
        <v>515</v>
      </c>
      <c r="M215" s="123" t="s">
        <v>840</v>
      </c>
      <c r="N215" s="129">
        <v>42614</v>
      </c>
      <c r="O215" s="129">
        <v>43708</v>
      </c>
      <c r="P215" s="129">
        <v>44144</v>
      </c>
      <c r="Q215" s="330">
        <v>492375</v>
      </c>
      <c r="R215" s="331"/>
      <c r="S215" s="324">
        <v>78000</v>
      </c>
      <c r="T215" s="324">
        <v>0</v>
      </c>
      <c r="U215" s="324">
        <v>86125</v>
      </c>
      <c r="V215" s="324"/>
      <c r="W215" s="324">
        <v>0</v>
      </c>
      <c r="X215" s="324">
        <v>0</v>
      </c>
      <c r="Y215" s="312">
        <v>164125</v>
      </c>
      <c r="Z215" s="325">
        <v>164125</v>
      </c>
      <c r="AA215" s="325">
        <v>0</v>
      </c>
      <c r="AB215" s="326"/>
      <c r="AC215" s="324">
        <v>78000</v>
      </c>
      <c r="AD215" s="324">
        <v>0</v>
      </c>
      <c r="AE215" s="324">
        <v>86125</v>
      </c>
      <c r="AF215" s="324">
        <v>0</v>
      </c>
      <c r="AG215" s="324">
        <v>0</v>
      </c>
      <c r="AH215" s="324"/>
      <c r="AI215" s="312">
        <v>164125</v>
      </c>
      <c r="AJ215" s="327">
        <v>164125</v>
      </c>
      <c r="AK215" s="327">
        <v>0</v>
      </c>
      <c r="AL215" s="328"/>
      <c r="AM215" s="279">
        <v>78000</v>
      </c>
      <c r="AN215" s="279">
        <v>0</v>
      </c>
      <c r="AO215" s="279">
        <v>86125</v>
      </c>
      <c r="AP215" s="279"/>
      <c r="AQ215" s="279">
        <v>0</v>
      </c>
      <c r="AR215" s="279">
        <v>0</v>
      </c>
      <c r="AS215" s="293">
        <v>164125</v>
      </c>
      <c r="AT215" s="327">
        <v>164125</v>
      </c>
      <c r="AU215" s="327">
        <v>0</v>
      </c>
      <c r="AV215" s="328"/>
      <c r="AW215" s="279"/>
      <c r="AX215" s="279"/>
      <c r="AY215" s="279"/>
      <c r="AZ215" s="279"/>
      <c r="BA215" s="279"/>
      <c r="BB215" s="279"/>
      <c r="BC215" s="293"/>
      <c r="BD215" s="319"/>
      <c r="BE215" s="293"/>
      <c r="BF215" s="319"/>
      <c r="BG215" s="293"/>
      <c r="BH215" s="293"/>
      <c r="BI215" s="337">
        <v>492375</v>
      </c>
      <c r="BJ215" s="338">
        <v>0</v>
      </c>
      <c r="BK215" s="280"/>
    </row>
    <row r="216" spans="1:63" ht="15.75">
      <c r="A216" s="314">
        <v>507776</v>
      </c>
      <c r="B216" s="124" t="s">
        <v>1122</v>
      </c>
      <c r="C216" s="124" t="s">
        <v>308</v>
      </c>
      <c r="D216" s="126">
        <v>208808</v>
      </c>
      <c r="E216" s="124" t="s">
        <v>1123</v>
      </c>
      <c r="F216" s="124" t="s">
        <v>1124</v>
      </c>
      <c r="G216" s="127" t="s">
        <v>53</v>
      </c>
      <c r="H216" s="126" t="s">
        <v>628</v>
      </c>
      <c r="I216" s="126" t="s">
        <v>598</v>
      </c>
      <c r="J216" s="126" t="s">
        <v>730</v>
      </c>
      <c r="K216" s="128" t="s">
        <v>735</v>
      </c>
      <c r="L216" s="121" t="s">
        <v>519</v>
      </c>
      <c r="M216" s="123" t="s">
        <v>1080</v>
      </c>
      <c r="N216" s="129">
        <v>43709</v>
      </c>
      <c r="O216" s="129">
        <v>44895</v>
      </c>
      <c r="P216" s="129">
        <v>44895</v>
      </c>
      <c r="Q216" s="323">
        <v>210000</v>
      </c>
      <c r="R216" s="319"/>
      <c r="S216" s="324">
        <v>45000</v>
      </c>
      <c r="T216" s="324">
        <v>0</v>
      </c>
      <c r="U216" s="324">
        <v>20000</v>
      </c>
      <c r="V216" s="324">
        <v>0</v>
      </c>
      <c r="W216" s="324">
        <v>5000</v>
      </c>
      <c r="X216" s="324">
        <v>0</v>
      </c>
      <c r="Y216" s="312">
        <v>70000</v>
      </c>
      <c r="Z216" s="325">
        <v>70000</v>
      </c>
      <c r="AA216" s="325">
        <v>0</v>
      </c>
      <c r="AB216" s="326"/>
      <c r="AC216" s="324">
        <v>45000</v>
      </c>
      <c r="AD216" s="324">
        <v>0</v>
      </c>
      <c r="AE216" s="324">
        <v>20000</v>
      </c>
      <c r="AF216" s="324">
        <v>0</v>
      </c>
      <c r="AG216" s="324">
        <v>5000</v>
      </c>
      <c r="AH216" s="324">
        <v>0</v>
      </c>
      <c r="AI216" s="312">
        <v>70000</v>
      </c>
      <c r="AJ216" s="327">
        <v>70000</v>
      </c>
      <c r="AK216" s="327">
        <v>0</v>
      </c>
      <c r="AL216" s="328"/>
      <c r="AM216" s="324">
        <v>45000</v>
      </c>
      <c r="AN216" s="324">
        <v>0</v>
      </c>
      <c r="AO216" s="324">
        <v>20000</v>
      </c>
      <c r="AP216" s="324">
        <v>0</v>
      </c>
      <c r="AQ216" s="324">
        <v>5000</v>
      </c>
      <c r="AR216" s="324">
        <v>0</v>
      </c>
      <c r="AS216" s="293">
        <v>70000</v>
      </c>
      <c r="AT216" s="327">
        <v>70000</v>
      </c>
      <c r="AU216" s="327">
        <v>0</v>
      </c>
      <c r="AV216" s="328"/>
      <c r="AW216" s="279"/>
      <c r="AX216" s="279"/>
      <c r="AY216" s="279"/>
      <c r="AZ216" s="279"/>
      <c r="BA216" s="279"/>
      <c r="BB216" s="279"/>
      <c r="BC216" s="293"/>
      <c r="BD216" s="319"/>
      <c r="BE216" s="293"/>
      <c r="BF216" s="319"/>
      <c r="BG216" s="293"/>
      <c r="BH216" s="293"/>
      <c r="BI216" s="337">
        <v>210000</v>
      </c>
      <c r="BJ216" s="338">
        <v>0</v>
      </c>
      <c r="BK216" s="126"/>
    </row>
    <row r="217" spans="1:63" ht="15.75">
      <c r="A217" s="314">
        <v>501333</v>
      </c>
      <c r="B217" s="125" t="s">
        <v>1125</v>
      </c>
      <c r="C217" s="124" t="s">
        <v>1126</v>
      </c>
      <c r="D217" s="126">
        <v>208809</v>
      </c>
      <c r="E217" s="124" t="s">
        <v>1127</v>
      </c>
      <c r="F217" s="124" t="s">
        <v>1128</v>
      </c>
      <c r="G217" s="127" t="s">
        <v>53</v>
      </c>
      <c r="H217" s="126" t="s">
        <v>628</v>
      </c>
      <c r="I217" s="126" t="s">
        <v>598</v>
      </c>
      <c r="J217" s="126" t="s">
        <v>730</v>
      </c>
      <c r="K217" s="128" t="s">
        <v>735</v>
      </c>
      <c r="L217" s="121" t="s">
        <v>515</v>
      </c>
      <c r="M217" s="123" t="s">
        <v>797</v>
      </c>
      <c r="N217" s="129">
        <v>42614</v>
      </c>
      <c r="O217" s="129">
        <v>43830</v>
      </c>
      <c r="P217" s="129">
        <v>44144</v>
      </c>
      <c r="Q217" s="323">
        <v>423491</v>
      </c>
      <c r="R217" s="319"/>
      <c r="S217" s="324">
        <v>60000</v>
      </c>
      <c r="T217" s="324">
        <v>0</v>
      </c>
      <c r="U217" s="324">
        <v>15000</v>
      </c>
      <c r="V217" s="324"/>
      <c r="W217" s="324">
        <v>60000</v>
      </c>
      <c r="X217" s="324">
        <v>0</v>
      </c>
      <c r="Y217" s="312">
        <v>135000</v>
      </c>
      <c r="Z217" s="325">
        <v>135000</v>
      </c>
      <c r="AA217" s="325">
        <v>0</v>
      </c>
      <c r="AB217" s="326"/>
      <c r="AC217" s="324">
        <v>60000</v>
      </c>
      <c r="AD217" s="324">
        <v>0</v>
      </c>
      <c r="AE217" s="324">
        <v>15000</v>
      </c>
      <c r="AF217" s="324"/>
      <c r="AG217" s="324">
        <v>70000</v>
      </c>
      <c r="AH217" s="324"/>
      <c r="AI217" s="312">
        <v>145000</v>
      </c>
      <c r="AJ217" s="327">
        <v>145000</v>
      </c>
      <c r="AK217" s="327">
        <v>0</v>
      </c>
      <c r="AL217" s="328"/>
      <c r="AM217" s="279">
        <v>60000</v>
      </c>
      <c r="AN217" s="279">
        <v>0</v>
      </c>
      <c r="AO217" s="279">
        <v>15000</v>
      </c>
      <c r="AP217" s="279"/>
      <c r="AQ217" s="279">
        <v>68491</v>
      </c>
      <c r="AR217" s="279">
        <v>0</v>
      </c>
      <c r="AS217" s="293">
        <v>143491</v>
      </c>
      <c r="AT217" s="327">
        <v>143491</v>
      </c>
      <c r="AU217" s="327">
        <v>0</v>
      </c>
      <c r="AV217" s="328"/>
      <c r="AW217" s="279"/>
      <c r="AX217" s="279"/>
      <c r="AY217" s="279"/>
      <c r="AZ217" s="279"/>
      <c r="BA217" s="279"/>
      <c r="BB217" s="279"/>
      <c r="BC217" s="293"/>
      <c r="BD217" s="319"/>
      <c r="BE217" s="293"/>
      <c r="BF217" s="319"/>
      <c r="BG217" s="293"/>
      <c r="BH217" s="293"/>
      <c r="BI217" s="337">
        <v>423491</v>
      </c>
      <c r="BJ217" s="338">
        <v>0</v>
      </c>
      <c r="BK217" s="126"/>
    </row>
    <row r="218" spans="1:63" ht="15.75">
      <c r="A218" s="314">
        <v>501345</v>
      </c>
      <c r="B218" s="125" t="s">
        <v>1129</v>
      </c>
      <c r="C218" s="124" t="s">
        <v>194</v>
      </c>
      <c r="D218" s="126">
        <v>208810</v>
      </c>
      <c r="E218" s="124" t="s">
        <v>1130</v>
      </c>
      <c r="F218" s="124" t="s">
        <v>1131</v>
      </c>
      <c r="G218" s="127" t="s">
        <v>53</v>
      </c>
      <c r="H218" s="126" t="s">
        <v>628</v>
      </c>
      <c r="I218" s="126" t="s">
        <v>598</v>
      </c>
      <c r="J218" s="126" t="s">
        <v>1050</v>
      </c>
      <c r="K218" s="128" t="s">
        <v>1051</v>
      </c>
      <c r="L218" s="121" t="s">
        <v>515</v>
      </c>
      <c r="M218" s="123" t="s">
        <v>714</v>
      </c>
      <c r="N218" s="129">
        <v>42614</v>
      </c>
      <c r="O218" s="129">
        <v>43890</v>
      </c>
      <c r="P218" s="129">
        <v>44145</v>
      </c>
      <c r="Q218" s="323">
        <v>581669</v>
      </c>
      <c r="R218" s="319"/>
      <c r="S218" s="324">
        <v>90000</v>
      </c>
      <c r="T218" s="324">
        <v>0</v>
      </c>
      <c r="U218" s="324">
        <v>90315</v>
      </c>
      <c r="V218" s="324"/>
      <c r="W218" s="324">
        <v>32800</v>
      </c>
      <c r="X218" s="324">
        <v>0</v>
      </c>
      <c r="Y218" s="312">
        <v>213115</v>
      </c>
      <c r="Z218" s="325">
        <v>213115</v>
      </c>
      <c r="AA218" s="325">
        <v>0</v>
      </c>
      <c r="AB218" s="326"/>
      <c r="AC218" s="324">
        <v>80000</v>
      </c>
      <c r="AD218" s="324">
        <v>0</v>
      </c>
      <c r="AE218" s="324">
        <v>70192</v>
      </c>
      <c r="AF218" s="324">
        <v>26660</v>
      </c>
      <c r="AG218" s="324">
        <v>0</v>
      </c>
      <c r="AH218" s="324"/>
      <c r="AI218" s="312">
        <v>176852</v>
      </c>
      <c r="AJ218" s="327">
        <v>176852</v>
      </c>
      <c r="AK218" s="327">
        <v>0</v>
      </c>
      <c r="AL218" s="328"/>
      <c r="AM218" s="279">
        <v>90000</v>
      </c>
      <c r="AN218" s="279">
        <v>0</v>
      </c>
      <c r="AO218" s="279">
        <v>75042</v>
      </c>
      <c r="AP218" s="279"/>
      <c r="AQ218" s="279">
        <v>26660</v>
      </c>
      <c r="AR218" s="279">
        <v>0</v>
      </c>
      <c r="AS218" s="293">
        <v>191702</v>
      </c>
      <c r="AT218" s="327">
        <v>191702</v>
      </c>
      <c r="AU218" s="327">
        <v>0</v>
      </c>
      <c r="AV218" s="328"/>
      <c r="AW218" s="279"/>
      <c r="AX218" s="279"/>
      <c r="AY218" s="279"/>
      <c r="AZ218" s="279"/>
      <c r="BA218" s="279"/>
      <c r="BB218" s="279"/>
      <c r="BC218" s="293"/>
      <c r="BD218" s="319"/>
      <c r="BE218" s="293"/>
      <c r="BF218" s="319"/>
      <c r="BG218" s="293"/>
      <c r="BH218" s="293"/>
      <c r="BI218" s="337">
        <v>581669</v>
      </c>
      <c r="BJ218" s="338">
        <v>0</v>
      </c>
      <c r="BK218" s="126"/>
    </row>
    <row r="219" spans="1:63" ht="15.75">
      <c r="A219" s="314">
        <v>502319</v>
      </c>
      <c r="B219" s="125" t="s">
        <v>1129</v>
      </c>
      <c r="C219" s="124" t="s">
        <v>194</v>
      </c>
      <c r="D219" s="126">
        <v>208810</v>
      </c>
      <c r="E219" s="124" t="s">
        <v>1130</v>
      </c>
      <c r="F219" s="124" t="s">
        <v>1131</v>
      </c>
      <c r="G219" s="127" t="s">
        <v>53</v>
      </c>
      <c r="H219" s="126" t="s">
        <v>597</v>
      </c>
      <c r="I219" s="126" t="s">
        <v>598</v>
      </c>
      <c r="J219" s="126" t="s">
        <v>1050</v>
      </c>
      <c r="K219" s="128" t="s">
        <v>1051</v>
      </c>
      <c r="L219" s="121" t="s">
        <v>1034</v>
      </c>
      <c r="M219" s="123" t="s">
        <v>1132</v>
      </c>
      <c r="N219" s="129">
        <v>42826</v>
      </c>
      <c r="O219" s="129">
        <v>43921</v>
      </c>
      <c r="P219" s="129">
        <v>43921</v>
      </c>
      <c r="Q219" s="323">
        <v>75000</v>
      </c>
      <c r="R219" s="319"/>
      <c r="S219" s="324">
        <v>25000</v>
      </c>
      <c r="T219" s="324">
        <v>0</v>
      </c>
      <c r="U219" s="324">
        <v>0</v>
      </c>
      <c r="V219" s="324"/>
      <c r="W219" s="324">
        <v>0</v>
      </c>
      <c r="X219" s="324">
        <v>0</v>
      </c>
      <c r="Y219" s="312">
        <v>25000</v>
      </c>
      <c r="Z219" s="325">
        <v>25000</v>
      </c>
      <c r="AA219" s="325">
        <v>0</v>
      </c>
      <c r="AB219" s="326"/>
      <c r="AC219" s="324">
        <v>25000</v>
      </c>
      <c r="AD219" s="324">
        <v>0</v>
      </c>
      <c r="AE219" s="324">
        <v>0</v>
      </c>
      <c r="AF219" s="324">
        <v>0</v>
      </c>
      <c r="AG219" s="324">
        <v>0</v>
      </c>
      <c r="AH219" s="324"/>
      <c r="AI219" s="312">
        <v>25000</v>
      </c>
      <c r="AJ219" s="327">
        <v>25000</v>
      </c>
      <c r="AK219" s="327">
        <v>0</v>
      </c>
      <c r="AL219" s="328"/>
      <c r="AM219" s="324">
        <v>25000</v>
      </c>
      <c r="AN219" s="324">
        <v>0</v>
      </c>
      <c r="AO219" s="324">
        <v>0</v>
      </c>
      <c r="AP219" s="324">
        <v>0</v>
      </c>
      <c r="AQ219" s="324">
        <v>0</v>
      </c>
      <c r="AR219" s="279">
        <v>0</v>
      </c>
      <c r="AS219" s="293">
        <v>25000</v>
      </c>
      <c r="AT219" s="327">
        <v>25000</v>
      </c>
      <c r="AU219" s="327">
        <v>0</v>
      </c>
      <c r="AV219" s="328"/>
      <c r="AW219" s="279" t="s">
        <v>602</v>
      </c>
      <c r="AX219" s="279" t="s">
        <v>602</v>
      </c>
      <c r="AY219" s="279" t="s">
        <v>602</v>
      </c>
      <c r="AZ219" s="279" t="s">
        <v>602</v>
      </c>
      <c r="BA219" s="279"/>
      <c r="BB219" s="279" t="s">
        <v>602</v>
      </c>
      <c r="BC219" s="293"/>
      <c r="BD219" s="319"/>
      <c r="BE219" s="293"/>
      <c r="BF219" s="319"/>
      <c r="BG219" s="293"/>
      <c r="BH219" s="293"/>
      <c r="BI219" s="337">
        <v>75000</v>
      </c>
      <c r="BJ219" s="338">
        <v>0</v>
      </c>
      <c r="BK219" s="280" t="s">
        <v>1035</v>
      </c>
    </row>
    <row r="220" spans="1:63" ht="15.75">
      <c r="A220" s="314">
        <v>507643</v>
      </c>
      <c r="B220" s="125" t="s">
        <v>1129</v>
      </c>
      <c r="C220" s="124" t="s">
        <v>194</v>
      </c>
      <c r="D220" s="126">
        <v>208810</v>
      </c>
      <c r="E220" s="124" t="s">
        <v>1130</v>
      </c>
      <c r="F220" s="124" t="s">
        <v>1131</v>
      </c>
      <c r="G220" s="127" t="s">
        <v>53</v>
      </c>
      <c r="H220" s="126" t="s">
        <v>628</v>
      </c>
      <c r="I220" s="126" t="s">
        <v>598</v>
      </c>
      <c r="J220" s="126" t="s">
        <v>1050</v>
      </c>
      <c r="K220" s="128" t="s">
        <v>1051</v>
      </c>
      <c r="L220" s="121" t="s">
        <v>519</v>
      </c>
      <c r="M220" s="123" t="s">
        <v>716</v>
      </c>
      <c r="N220" s="129">
        <v>43709</v>
      </c>
      <c r="O220" s="129">
        <v>44592</v>
      </c>
      <c r="P220" s="129">
        <v>44592</v>
      </c>
      <c r="Q220" s="323">
        <v>216667</v>
      </c>
      <c r="R220" s="319"/>
      <c r="S220" s="324">
        <v>37000</v>
      </c>
      <c r="T220" s="324"/>
      <c r="U220" s="324">
        <v>43000</v>
      </c>
      <c r="V220" s="324"/>
      <c r="W220" s="324">
        <v>20000</v>
      </c>
      <c r="X220" s="324"/>
      <c r="Y220" s="312">
        <v>100000</v>
      </c>
      <c r="Z220" s="325">
        <v>100000</v>
      </c>
      <c r="AA220" s="325">
        <v>0</v>
      </c>
      <c r="AB220" s="326"/>
      <c r="AC220" s="324">
        <v>37000</v>
      </c>
      <c r="AD220" s="324"/>
      <c r="AE220" s="324">
        <v>43000</v>
      </c>
      <c r="AF220" s="324">
        <v>0</v>
      </c>
      <c r="AG220" s="324">
        <v>20000</v>
      </c>
      <c r="AH220" s="324"/>
      <c r="AI220" s="312">
        <v>100000</v>
      </c>
      <c r="AJ220" s="327">
        <v>100000</v>
      </c>
      <c r="AK220" s="327">
        <v>0</v>
      </c>
      <c r="AL220" s="328"/>
      <c r="AM220" s="324">
        <v>6167</v>
      </c>
      <c r="AN220" s="324">
        <v>0</v>
      </c>
      <c r="AO220" s="324">
        <v>7167</v>
      </c>
      <c r="AP220" s="324">
        <v>0</v>
      </c>
      <c r="AQ220" s="324">
        <v>3333</v>
      </c>
      <c r="AR220" s="279">
        <v>0</v>
      </c>
      <c r="AS220" s="293">
        <v>16667</v>
      </c>
      <c r="AT220" s="327">
        <v>16667</v>
      </c>
      <c r="AU220" s="327">
        <v>0</v>
      </c>
      <c r="AV220" s="328"/>
      <c r="AW220" s="279">
        <v>30833</v>
      </c>
      <c r="AX220" s="279"/>
      <c r="AY220" s="279">
        <v>35833</v>
      </c>
      <c r="AZ220" s="279">
        <v>16667</v>
      </c>
      <c r="BA220" s="279"/>
      <c r="BB220" s="279"/>
      <c r="BC220" s="293">
        <v>83333</v>
      </c>
      <c r="BD220" s="319"/>
      <c r="BE220" s="293"/>
      <c r="BF220" s="319"/>
      <c r="BG220" s="293"/>
      <c r="BH220" s="293"/>
      <c r="BI220" s="337">
        <v>300000</v>
      </c>
      <c r="BJ220" s="338">
        <v>83333</v>
      </c>
      <c r="BK220" s="126"/>
    </row>
    <row r="221" spans="1:63" ht="15.75">
      <c r="A221" s="314">
        <v>509666</v>
      </c>
      <c r="B221" s="125" t="s">
        <v>1129</v>
      </c>
      <c r="C221" s="124" t="s">
        <v>194</v>
      </c>
      <c r="D221" s="126">
        <v>208810</v>
      </c>
      <c r="E221" s="148" t="s">
        <v>1130</v>
      </c>
      <c r="F221" s="148" t="s">
        <v>1131</v>
      </c>
      <c r="G221" s="127" t="s">
        <v>53</v>
      </c>
      <c r="H221" s="149" t="s">
        <v>628</v>
      </c>
      <c r="I221" s="126" t="s">
        <v>598</v>
      </c>
      <c r="J221" s="126" t="s">
        <v>1050</v>
      </c>
      <c r="K221" s="128" t="s">
        <v>1051</v>
      </c>
      <c r="L221" s="121" t="s">
        <v>19</v>
      </c>
      <c r="M221" s="123" t="s">
        <v>1018</v>
      </c>
      <c r="N221" s="129">
        <v>44044</v>
      </c>
      <c r="O221" s="129">
        <v>44773</v>
      </c>
      <c r="P221" s="129">
        <v>44773</v>
      </c>
      <c r="Q221" s="323">
        <v>38000</v>
      </c>
      <c r="R221" s="319"/>
      <c r="S221" s="324">
        <v>8000</v>
      </c>
      <c r="T221" s="324">
        <v>0</v>
      </c>
      <c r="U221" s="324">
        <v>7000</v>
      </c>
      <c r="V221" s="324">
        <v>0</v>
      </c>
      <c r="W221" s="324">
        <v>4000</v>
      </c>
      <c r="X221" s="324">
        <v>4000</v>
      </c>
      <c r="Y221" s="312">
        <v>23000</v>
      </c>
      <c r="Z221" s="325">
        <v>23000</v>
      </c>
      <c r="AA221" s="325">
        <v>0</v>
      </c>
      <c r="AB221" s="326"/>
      <c r="AC221" s="324">
        <v>4000</v>
      </c>
      <c r="AD221" s="324">
        <v>0</v>
      </c>
      <c r="AE221" s="324">
        <v>7000</v>
      </c>
      <c r="AF221" s="324"/>
      <c r="AG221" s="324">
        <v>0</v>
      </c>
      <c r="AH221" s="324">
        <v>4000</v>
      </c>
      <c r="AI221" s="312">
        <v>15000</v>
      </c>
      <c r="AJ221" s="327">
        <v>15000</v>
      </c>
      <c r="AK221" s="327">
        <v>0</v>
      </c>
      <c r="AL221" s="328"/>
      <c r="AM221" s="324">
        <v>0</v>
      </c>
      <c r="AN221" s="324">
        <v>0</v>
      </c>
      <c r="AO221" s="324">
        <v>0</v>
      </c>
      <c r="AP221" s="324">
        <v>0</v>
      </c>
      <c r="AQ221" s="324">
        <v>0</v>
      </c>
      <c r="AR221" s="324">
        <v>0</v>
      </c>
      <c r="AS221" s="293">
        <v>0</v>
      </c>
      <c r="AT221" s="327">
        <v>0</v>
      </c>
      <c r="AU221" s="327">
        <v>0</v>
      </c>
      <c r="AV221" s="328"/>
      <c r="AW221" s="279"/>
      <c r="AX221" s="279"/>
      <c r="AY221" s="279"/>
      <c r="AZ221" s="279"/>
      <c r="BA221" s="279"/>
      <c r="BB221" s="279"/>
      <c r="BC221" s="293"/>
      <c r="BD221" s="319"/>
      <c r="BE221" s="293"/>
      <c r="BF221" s="319"/>
      <c r="BG221" s="293"/>
      <c r="BH221" s="293"/>
      <c r="BI221" s="337">
        <v>38000</v>
      </c>
      <c r="BJ221" s="338">
        <v>0</v>
      </c>
      <c r="BK221" s="126"/>
    </row>
    <row r="222" spans="1:63" ht="15.75">
      <c r="A222" s="314">
        <v>513373</v>
      </c>
      <c r="B222" s="125" t="s">
        <v>1129</v>
      </c>
      <c r="C222" s="124" t="s">
        <v>194</v>
      </c>
      <c r="D222" s="126">
        <v>208810</v>
      </c>
      <c r="E222" s="148" t="s">
        <v>1130</v>
      </c>
      <c r="F222" s="148" t="s">
        <v>1131</v>
      </c>
      <c r="G222" s="127" t="s">
        <v>53</v>
      </c>
      <c r="H222" s="149" t="s">
        <v>628</v>
      </c>
      <c r="I222" s="126" t="s">
        <v>598</v>
      </c>
      <c r="J222" s="126" t="s">
        <v>1050</v>
      </c>
      <c r="K222" s="128" t="s">
        <v>1051</v>
      </c>
      <c r="L222" s="121" t="s">
        <v>685</v>
      </c>
      <c r="M222" s="123" t="s">
        <v>718</v>
      </c>
      <c r="N222" s="129">
        <v>44562</v>
      </c>
      <c r="O222" s="129">
        <v>45138</v>
      </c>
      <c r="P222" s="129">
        <v>45138</v>
      </c>
      <c r="Q222" s="323">
        <v>50000</v>
      </c>
      <c r="R222" s="319"/>
      <c r="S222" s="324">
        <v>25000</v>
      </c>
      <c r="T222" s="324"/>
      <c r="U222" s="324">
        <v>25000</v>
      </c>
      <c r="V222" s="324"/>
      <c r="W222" s="324"/>
      <c r="X222" s="324"/>
      <c r="Y222" s="312">
        <v>50000</v>
      </c>
      <c r="Z222" s="325">
        <v>50000</v>
      </c>
      <c r="AA222" s="325">
        <v>0</v>
      </c>
      <c r="AB222" s="326"/>
      <c r="AC222" s="324"/>
      <c r="AD222" s="324"/>
      <c r="AE222" s="324"/>
      <c r="AF222" s="324"/>
      <c r="AG222" s="324"/>
      <c r="AH222" s="324"/>
      <c r="AI222" s="312"/>
      <c r="AJ222" s="327"/>
      <c r="AK222" s="327"/>
      <c r="AL222" s="328"/>
      <c r="AM222" s="324"/>
      <c r="AN222" s="324"/>
      <c r="AO222" s="324"/>
      <c r="AP222" s="324"/>
      <c r="AQ222" s="324"/>
      <c r="AR222" s="324"/>
      <c r="AS222" s="293"/>
      <c r="AT222" s="327"/>
      <c r="AU222" s="327"/>
      <c r="AV222" s="328"/>
      <c r="AW222" s="279"/>
      <c r="AX222" s="279"/>
      <c r="AY222" s="279"/>
      <c r="AZ222" s="279"/>
      <c r="BA222" s="279"/>
      <c r="BB222" s="279"/>
      <c r="BC222" s="293"/>
      <c r="BD222" s="319"/>
      <c r="BE222" s="293"/>
      <c r="BF222" s="319"/>
      <c r="BG222" s="293"/>
      <c r="BH222" s="293"/>
      <c r="BI222" s="337">
        <v>50000</v>
      </c>
      <c r="BJ222" s="338">
        <v>0</v>
      </c>
      <c r="BK222" s="126"/>
    </row>
    <row r="223" spans="1:63" ht="15.75">
      <c r="A223" s="314">
        <v>501349</v>
      </c>
      <c r="B223" s="125" t="s">
        <v>1133</v>
      </c>
      <c r="C223" s="124" t="s">
        <v>1134</v>
      </c>
      <c r="D223" s="126">
        <v>208811</v>
      </c>
      <c r="E223" s="124" t="s">
        <v>1135</v>
      </c>
      <c r="F223" s="124" t="s">
        <v>1136</v>
      </c>
      <c r="G223" s="127" t="s">
        <v>53</v>
      </c>
      <c r="H223" s="126" t="s">
        <v>628</v>
      </c>
      <c r="I223" s="126" t="s">
        <v>598</v>
      </c>
      <c r="J223" s="126" t="s">
        <v>635</v>
      </c>
      <c r="K223" s="128" t="s">
        <v>636</v>
      </c>
      <c r="L223" s="121" t="s">
        <v>515</v>
      </c>
      <c r="M223" s="123" t="s">
        <v>640</v>
      </c>
      <c r="N223" s="129">
        <v>42614</v>
      </c>
      <c r="O223" s="129">
        <v>43708</v>
      </c>
      <c r="P223" s="129">
        <v>43708</v>
      </c>
      <c r="Q223" s="323">
        <v>300000</v>
      </c>
      <c r="R223" s="319"/>
      <c r="S223" s="324">
        <v>40000</v>
      </c>
      <c r="T223" s="324">
        <v>0</v>
      </c>
      <c r="U223" s="324">
        <v>50000</v>
      </c>
      <c r="V223" s="324"/>
      <c r="W223" s="324">
        <v>10000</v>
      </c>
      <c r="X223" s="324">
        <v>0</v>
      </c>
      <c r="Y223" s="312">
        <v>100000</v>
      </c>
      <c r="Z223" s="325">
        <v>100000</v>
      </c>
      <c r="AA223" s="325">
        <v>0</v>
      </c>
      <c r="AB223" s="326"/>
      <c r="AC223" s="324">
        <v>40000</v>
      </c>
      <c r="AD223" s="324">
        <v>0</v>
      </c>
      <c r="AE223" s="324">
        <v>50000</v>
      </c>
      <c r="AF223" s="324">
        <v>10000</v>
      </c>
      <c r="AG223" s="324">
        <v>0</v>
      </c>
      <c r="AH223" s="324"/>
      <c r="AI223" s="312">
        <v>100000</v>
      </c>
      <c r="AJ223" s="327">
        <v>100000</v>
      </c>
      <c r="AK223" s="327">
        <v>0</v>
      </c>
      <c r="AL223" s="328"/>
      <c r="AM223" s="324">
        <v>40000</v>
      </c>
      <c r="AN223" s="324">
        <v>0</v>
      </c>
      <c r="AO223" s="324">
        <v>50000</v>
      </c>
      <c r="AP223" s="324">
        <v>0</v>
      </c>
      <c r="AQ223" s="324">
        <v>10000</v>
      </c>
      <c r="AR223" s="324">
        <v>0</v>
      </c>
      <c r="AS223" s="293">
        <v>100000</v>
      </c>
      <c r="AT223" s="327">
        <v>100000</v>
      </c>
      <c r="AU223" s="327">
        <v>0</v>
      </c>
      <c r="AV223" s="328"/>
      <c r="AW223" s="279"/>
      <c r="AX223" s="279"/>
      <c r="AY223" s="279"/>
      <c r="AZ223" s="279"/>
      <c r="BA223" s="279"/>
      <c r="BB223" s="279"/>
      <c r="BC223" s="293"/>
      <c r="BD223" s="319"/>
      <c r="BE223" s="293"/>
      <c r="BF223" s="319"/>
      <c r="BG223" s="293"/>
      <c r="BH223" s="293"/>
      <c r="BI223" s="337">
        <v>300000</v>
      </c>
      <c r="BJ223" s="338">
        <v>0</v>
      </c>
      <c r="BK223" s="126"/>
    </row>
    <row r="224" spans="1:63" ht="15.75">
      <c r="A224" s="314">
        <v>501338</v>
      </c>
      <c r="B224" s="125" t="s">
        <v>1137</v>
      </c>
      <c r="C224" s="124" t="s">
        <v>314</v>
      </c>
      <c r="D224" s="126">
        <v>208815</v>
      </c>
      <c r="E224" s="121" t="s">
        <v>1138</v>
      </c>
      <c r="F224" s="121" t="s">
        <v>1139</v>
      </c>
      <c r="G224" s="127" t="s">
        <v>53</v>
      </c>
      <c r="H224" s="123" t="s">
        <v>628</v>
      </c>
      <c r="I224" s="126" t="s">
        <v>598</v>
      </c>
      <c r="J224" s="126" t="s">
        <v>683</v>
      </c>
      <c r="K224" s="128" t="s">
        <v>684</v>
      </c>
      <c r="L224" s="121" t="s">
        <v>515</v>
      </c>
      <c r="M224" s="123" t="s">
        <v>760</v>
      </c>
      <c r="N224" s="129">
        <v>42614</v>
      </c>
      <c r="O224" s="129">
        <v>43708</v>
      </c>
      <c r="P224" s="129">
        <v>43921</v>
      </c>
      <c r="Q224" s="330">
        <v>259476</v>
      </c>
      <c r="R224" s="331"/>
      <c r="S224" s="324">
        <v>43333</v>
      </c>
      <c r="T224" s="324">
        <v>15000</v>
      </c>
      <c r="U224" s="324">
        <v>35000</v>
      </c>
      <c r="V224" s="324"/>
      <c r="W224" s="324">
        <v>3159</v>
      </c>
      <c r="X224" s="324">
        <v>0</v>
      </c>
      <c r="Y224" s="312">
        <v>96492</v>
      </c>
      <c r="Z224" s="325">
        <v>96492</v>
      </c>
      <c r="AA224" s="325">
        <v>0</v>
      </c>
      <c r="AB224" s="326"/>
      <c r="AC224" s="324">
        <v>43333</v>
      </c>
      <c r="AD224" s="324">
        <v>0</v>
      </c>
      <c r="AE224" s="324">
        <v>35000</v>
      </c>
      <c r="AF224" s="324">
        <v>3159</v>
      </c>
      <c r="AG224" s="324">
        <v>0</v>
      </c>
      <c r="AH224" s="324"/>
      <c r="AI224" s="312">
        <v>81492</v>
      </c>
      <c r="AJ224" s="327">
        <v>81492</v>
      </c>
      <c r="AK224" s="327">
        <v>0</v>
      </c>
      <c r="AL224" s="328"/>
      <c r="AM224" s="279">
        <v>43333</v>
      </c>
      <c r="AN224" s="279">
        <v>0</v>
      </c>
      <c r="AO224" s="279">
        <v>35000</v>
      </c>
      <c r="AP224" s="279"/>
      <c r="AQ224" s="279">
        <v>3159</v>
      </c>
      <c r="AR224" s="279">
        <v>0</v>
      </c>
      <c r="AS224" s="293">
        <v>81492</v>
      </c>
      <c r="AT224" s="327">
        <v>81492</v>
      </c>
      <c r="AU224" s="327">
        <v>0</v>
      </c>
      <c r="AV224" s="328"/>
      <c r="AW224" s="279"/>
      <c r="AX224" s="279"/>
      <c r="AY224" s="279"/>
      <c r="AZ224" s="279"/>
      <c r="BA224" s="279"/>
      <c r="BB224" s="279"/>
      <c r="BC224" s="293"/>
      <c r="BD224" s="319"/>
      <c r="BE224" s="293"/>
      <c r="BF224" s="319"/>
      <c r="BG224" s="293"/>
      <c r="BH224" s="293"/>
      <c r="BI224" s="337">
        <v>259476</v>
      </c>
      <c r="BJ224" s="338">
        <v>0</v>
      </c>
      <c r="BK224" s="280"/>
    </row>
    <row r="225" spans="1:63" ht="15.75">
      <c r="A225" s="314">
        <v>507777</v>
      </c>
      <c r="B225" s="124" t="s">
        <v>1137</v>
      </c>
      <c r="C225" s="124" t="s">
        <v>314</v>
      </c>
      <c r="D225" s="126">
        <v>208815</v>
      </c>
      <c r="E225" s="124" t="s">
        <v>1138</v>
      </c>
      <c r="F225" s="124" t="s">
        <v>1139</v>
      </c>
      <c r="G225" s="127" t="s">
        <v>53</v>
      </c>
      <c r="H225" s="126" t="s">
        <v>628</v>
      </c>
      <c r="I225" s="126" t="s">
        <v>598</v>
      </c>
      <c r="J225" s="126" t="s">
        <v>683</v>
      </c>
      <c r="K225" s="128" t="s">
        <v>684</v>
      </c>
      <c r="L225" s="121" t="s">
        <v>519</v>
      </c>
      <c r="M225" s="123" t="s">
        <v>769</v>
      </c>
      <c r="N225" s="129">
        <v>43709</v>
      </c>
      <c r="O225" s="129">
        <v>44895</v>
      </c>
      <c r="P225" s="129">
        <v>44895</v>
      </c>
      <c r="Q225" s="323">
        <v>144720</v>
      </c>
      <c r="R225" s="319"/>
      <c r="S225" s="324">
        <v>0</v>
      </c>
      <c r="T225" s="324">
        <v>0</v>
      </c>
      <c r="U225" s="324">
        <v>48240</v>
      </c>
      <c r="V225" s="324">
        <v>0</v>
      </c>
      <c r="W225" s="324">
        <v>0</v>
      </c>
      <c r="X225" s="324">
        <v>0</v>
      </c>
      <c r="Y225" s="312">
        <v>48240</v>
      </c>
      <c r="Z225" s="325">
        <v>48240</v>
      </c>
      <c r="AA225" s="325">
        <v>0</v>
      </c>
      <c r="AB225" s="326"/>
      <c r="AC225" s="324">
        <v>0</v>
      </c>
      <c r="AD225" s="324">
        <v>0</v>
      </c>
      <c r="AE225" s="324">
        <v>48240</v>
      </c>
      <c r="AF225" s="324">
        <v>0</v>
      </c>
      <c r="AG225" s="324">
        <v>0</v>
      </c>
      <c r="AH225" s="324">
        <v>0</v>
      </c>
      <c r="AI225" s="312">
        <v>48240</v>
      </c>
      <c r="AJ225" s="327">
        <v>48240</v>
      </c>
      <c r="AK225" s="327">
        <v>0</v>
      </c>
      <c r="AL225" s="328"/>
      <c r="AM225" s="324">
        <v>0</v>
      </c>
      <c r="AN225" s="324">
        <v>0</v>
      </c>
      <c r="AO225" s="324">
        <v>48240</v>
      </c>
      <c r="AP225" s="324">
        <v>0</v>
      </c>
      <c r="AQ225" s="324">
        <v>0</v>
      </c>
      <c r="AR225" s="324">
        <v>0</v>
      </c>
      <c r="AS225" s="293">
        <v>48240</v>
      </c>
      <c r="AT225" s="327">
        <v>48240</v>
      </c>
      <c r="AU225" s="327">
        <v>0</v>
      </c>
      <c r="AV225" s="328"/>
      <c r="AW225" s="279"/>
      <c r="AX225" s="279"/>
      <c r="AY225" s="279"/>
      <c r="AZ225" s="279"/>
      <c r="BA225" s="279"/>
      <c r="BB225" s="279"/>
      <c r="BC225" s="293"/>
      <c r="BD225" s="319"/>
      <c r="BE225" s="293"/>
      <c r="BF225" s="319"/>
      <c r="BG225" s="293"/>
      <c r="BH225" s="293"/>
      <c r="BI225" s="337">
        <v>144720</v>
      </c>
      <c r="BJ225" s="338">
        <v>0</v>
      </c>
      <c r="BK225" s="126"/>
    </row>
    <row r="226" spans="1:63" ht="15.75">
      <c r="A226" s="314">
        <v>501332</v>
      </c>
      <c r="B226" s="125" t="s">
        <v>1140</v>
      </c>
      <c r="C226" s="124" t="s">
        <v>1141</v>
      </c>
      <c r="D226" s="126">
        <v>208846</v>
      </c>
      <c r="E226" s="124" t="s">
        <v>1142</v>
      </c>
      <c r="F226" s="124" t="s">
        <v>1143</v>
      </c>
      <c r="G226" s="127" t="s">
        <v>46</v>
      </c>
      <c r="H226" s="126" t="s">
        <v>628</v>
      </c>
      <c r="I226" s="126" t="s">
        <v>703</v>
      </c>
      <c r="J226" s="126" t="s">
        <v>774</v>
      </c>
      <c r="K226" s="128" t="s">
        <v>775</v>
      </c>
      <c r="L226" s="121" t="s">
        <v>515</v>
      </c>
      <c r="M226" s="123" t="s">
        <v>839</v>
      </c>
      <c r="N226" s="129">
        <v>42614</v>
      </c>
      <c r="O226" s="129">
        <v>43708</v>
      </c>
      <c r="P226" s="129">
        <v>43708</v>
      </c>
      <c r="Q226" s="323">
        <v>50000</v>
      </c>
      <c r="R226" s="319"/>
      <c r="S226" s="324">
        <v>0</v>
      </c>
      <c r="T226" s="324">
        <v>0</v>
      </c>
      <c r="U226" s="324">
        <v>0</v>
      </c>
      <c r="V226" s="324"/>
      <c r="W226" s="324">
        <v>0</v>
      </c>
      <c r="X226" s="324">
        <v>0</v>
      </c>
      <c r="Y226" s="312">
        <v>0</v>
      </c>
      <c r="Z226" s="325">
        <v>0</v>
      </c>
      <c r="AA226" s="325">
        <v>0</v>
      </c>
      <c r="AB226" s="326"/>
      <c r="AC226" s="324">
        <v>25000</v>
      </c>
      <c r="AD226" s="324">
        <v>0</v>
      </c>
      <c r="AE226" s="324">
        <v>0</v>
      </c>
      <c r="AF226" s="324">
        <v>0</v>
      </c>
      <c r="AG226" s="324">
        <v>0</v>
      </c>
      <c r="AH226" s="324"/>
      <c r="AI226" s="312">
        <v>25000</v>
      </c>
      <c r="AJ226" s="327">
        <v>25000</v>
      </c>
      <c r="AK226" s="327">
        <v>0</v>
      </c>
      <c r="AL226" s="328"/>
      <c r="AM226" s="279">
        <v>25000</v>
      </c>
      <c r="AN226" s="279">
        <v>0</v>
      </c>
      <c r="AO226" s="279">
        <v>0</v>
      </c>
      <c r="AP226" s="279"/>
      <c r="AQ226" s="279">
        <v>0</v>
      </c>
      <c r="AR226" s="279">
        <v>0</v>
      </c>
      <c r="AS226" s="293">
        <v>25000</v>
      </c>
      <c r="AT226" s="327">
        <v>25000</v>
      </c>
      <c r="AU226" s="327">
        <v>0</v>
      </c>
      <c r="AV226" s="328"/>
      <c r="AW226" s="279"/>
      <c r="AX226" s="279"/>
      <c r="AY226" s="279"/>
      <c r="AZ226" s="279"/>
      <c r="BA226" s="279"/>
      <c r="BB226" s="279"/>
      <c r="BC226" s="293"/>
      <c r="BD226" s="319"/>
      <c r="BE226" s="293"/>
      <c r="BF226" s="319"/>
      <c r="BG226" s="293"/>
      <c r="BH226" s="293"/>
      <c r="BI226" s="337">
        <v>50000</v>
      </c>
      <c r="BJ226" s="338">
        <v>0</v>
      </c>
      <c r="BK226" s="126" t="s">
        <v>1144</v>
      </c>
    </row>
    <row r="227" spans="1:63" ht="15.75">
      <c r="A227" s="314">
        <v>501813</v>
      </c>
      <c r="B227" s="125" t="s">
        <v>1140</v>
      </c>
      <c r="C227" s="124" t="s">
        <v>1141</v>
      </c>
      <c r="D227" s="126">
        <v>208846</v>
      </c>
      <c r="E227" s="124" t="s">
        <v>1142</v>
      </c>
      <c r="F227" s="124" t="s">
        <v>1143</v>
      </c>
      <c r="G227" s="127" t="s">
        <v>46</v>
      </c>
      <c r="H227" s="126" t="s">
        <v>1145</v>
      </c>
      <c r="I227" s="126" t="s">
        <v>703</v>
      </c>
      <c r="J227" s="126" t="s">
        <v>774</v>
      </c>
      <c r="K227" s="128" t="s">
        <v>775</v>
      </c>
      <c r="L227" s="121" t="s">
        <v>518</v>
      </c>
      <c r="M227" s="123" t="s">
        <v>1146</v>
      </c>
      <c r="N227" s="129">
        <v>42736</v>
      </c>
      <c r="O227" s="129">
        <v>43465</v>
      </c>
      <c r="P227" s="129">
        <v>43505</v>
      </c>
      <c r="Q227" s="323">
        <v>150000</v>
      </c>
      <c r="R227" s="319"/>
      <c r="S227" s="324">
        <v>150000</v>
      </c>
      <c r="T227" s="324">
        <v>0</v>
      </c>
      <c r="U227" s="324">
        <v>0</v>
      </c>
      <c r="V227" s="324">
        <v>0</v>
      </c>
      <c r="W227" s="324">
        <v>0</v>
      </c>
      <c r="X227" s="324">
        <v>0</v>
      </c>
      <c r="Y227" s="312">
        <v>150000</v>
      </c>
      <c r="Z227" s="325">
        <v>150000</v>
      </c>
      <c r="AA227" s="325">
        <v>0</v>
      </c>
      <c r="AB227" s="326"/>
      <c r="AC227" s="324" t="s">
        <v>602</v>
      </c>
      <c r="AD227" s="324" t="s">
        <v>602</v>
      </c>
      <c r="AE227" s="324" t="s">
        <v>602</v>
      </c>
      <c r="AF227" s="324" t="s">
        <v>602</v>
      </c>
      <c r="AG227" s="324" t="s">
        <v>602</v>
      </c>
      <c r="AH227" s="324"/>
      <c r="AI227" s="312">
        <v>0</v>
      </c>
      <c r="AJ227" s="327">
        <v>0</v>
      </c>
      <c r="AK227" s="327">
        <v>0</v>
      </c>
      <c r="AL227" s="328"/>
      <c r="AM227" s="324">
        <v>0</v>
      </c>
      <c r="AN227" s="324">
        <v>0</v>
      </c>
      <c r="AO227" s="324">
        <v>0</v>
      </c>
      <c r="AP227" s="324">
        <v>0</v>
      </c>
      <c r="AQ227" s="324">
        <v>0</v>
      </c>
      <c r="AR227" s="324">
        <v>0</v>
      </c>
      <c r="AS227" s="293">
        <v>0</v>
      </c>
      <c r="AT227" s="327">
        <v>0</v>
      </c>
      <c r="AU227" s="327">
        <v>0</v>
      </c>
      <c r="AV227" s="328"/>
      <c r="AW227" s="279"/>
      <c r="AX227" s="279"/>
      <c r="AY227" s="279"/>
      <c r="AZ227" s="279"/>
      <c r="BA227" s="279"/>
      <c r="BB227" s="279"/>
      <c r="BC227" s="293"/>
      <c r="BD227" s="319"/>
      <c r="BE227" s="293"/>
      <c r="BF227" s="319"/>
      <c r="BG227" s="293"/>
      <c r="BH227" s="293"/>
      <c r="BI227" s="337">
        <v>150000</v>
      </c>
      <c r="BJ227" s="338">
        <v>0</v>
      </c>
      <c r="BK227" s="126" t="s">
        <v>1147</v>
      </c>
    </row>
    <row r="228" spans="1:63" ht="15.75">
      <c r="A228" s="314">
        <v>501814</v>
      </c>
      <c r="B228" s="125" t="s">
        <v>1140</v>
      </c>
      <c r="C228" s="124" t="s">
        <v>1141</v>
      </c>
      <c r="D228" s="126">
        <v>208846</v>
      </c>
      <c r="E228" s="124" t="s">
        <v>1142</v>
      </c>
      <c r="F228" s="124" t="s">
        <v>1143</v>
      </c>
      <c r="G228" s="127" t="s">
        <v>46</v>
      </c>
      <c r="H228" s="126" t="s">
        <v>1148</v>
      </c>
      <c r="I228" s="126" t="s">
        <v>703</v>
      </c>
      <c r="J228" s="126" t="s">
        <v>774</v>
      </c>
      <c r="K228" s="128" t="s">
        <v>775</v>
      </c>
      <c r="L228" s="121" t="s">
        <v>518</v>
      </c>
      <c r="M228" s="123" t="s">
        <v>1146</v>
      </c>
      <c r="N228" s="129">
        <v>42979</v>
      </c>
      <c r="O228" s="129">
        <v>43830</v>
      </c>
      <c r="P228" s="129">
        <v>44002</v>
      </c>
      <c r="Q228" s="323">
        <v>111200</v>
      </c>
      <c r="R228" s="319"/>
      <c r="S228" s="324">
        <v>55600</v>
      </c>
      <c r="T228" s="324">
        <v>0</v>
      </c>
      <c r="U228" s="324">
        <v>0</v>
      </c>
      <c r="V228" s="324">
        <v>0</v>
      </c>
      <c r="W228" s="324">
        <v>0</v>
      </c>
      <c r="X228" s="324">
        <v>0</v>
      </c>
      <c r="Y228" s="312">
        <v>55600</v>
      </c>
      <c r="Z228" s="325">
        <v>55600</v>
      </c>
      <c r="AA228" s="325">
        <v>0</v>
      </c>
      <c r="AB228" s="326"/>
      <c r="AC228" s="324">
        <v>55600</v>
      </c>
      <c r="AD228" s="324">
        <v>0</v>
      </c>
      <c r="AE228" s="324">
        <v>0</v>
      </c>
      <c r="AF228" s="324">
        <v>0</v>
      </c>
      <c r="AG228" s="324">
        <v>0</v>
      </c>
      <c r="AH228" s="324"/>
      <c r="AI228" s="312">
        <v>55600</v>
      </c>
      <c r="AJ228" s="327">
        <v>55600</v>
      </c>
      <c r="AK228" s="327">
        <v>0</v>
      </c>
      <c r="AL228" s="328"/>
      <c r="AM228" s="324">
        <v>0</v>
      </c>
      <c r="AN228" s="324">
        <v>0</v>
      </c>
      <c r="AO228" s="324">
        <v>0</v>
      </c>
      <c r="AP228" s="324">
        <v>0</v>
      </c>
      <c r="AQ228" s="324">
        <v>0</v>
      </c>
      <c r="AR228" s="324">
        <v>0</v>
      </c>
      <c r="AS228" s="293">
        <v>0</v>
      </c>
      <c r="AT228" s="327">
        <v>0</v>
      </c>
      <c r="AU228" s="327">
        <v>0</v>
      </c>
      <c r="AV228" s="328"/>
      <c r="AW228" s="279"/>
      <c r="AX228" s="279"/>
      <c r="AY228" s="279"/>
      <c r="AZ228" s="279"/>
      <c r="BA228" s="279"/>
      <c r="BB228" s="279"/>
      <c r="BC228" s="293"/>
      <c r="BD228" s="319"/>
      <c r="BE228" s="293"/>
      <c r="BF228" s="319"/>
      <c r="BG228" s="293"/>
      <c r="BH228" s="293"/>
      <c r="BI228" s="337">
        <v>111200</v>
      </c>
      <c r="BJ228" s="338">
        <v>0</v>
      </c>
      <c r="BK228" s="126" t="s">
        <v>1149</v>
      </c>
    </row>
    <row r="229" spans="1:63" ht="15.75">
      <c r="A229" s="314">
        <v>504335</v>
      </c>
      <c r="B229" s="125" t="s">
        <v>1150</v>
      </c>
      <c r="C229" s="124" t="s">
        <v>272</v>
      </c>
      <c r="D229" s="126">
        <v>208897</v>
      </c>
      <c r="E229" s="148" t="s">
        <v>1151</v>
      </c>
      <c r="F229" s="148" t="s">
        <v>1152</v>
      </c>
      <c r="G229" s="127" t="s">
        <v>46</v>
      </c>
      <c r="H229" s="126" t="s">
        <v>597</v>
      </c>
      <c r="I229" s="126" t="s">
        <v>598</v>
      </c>
      <c r="J229" s="126" t="s">
        <v>795</v>
      </c>
      <c r="K229" s="128" t="s">
        <v>796</v>
      </c>
      <c r="L229" s="121" t="s">
        <v>19</v>
      </c>
      <c r="M229" s="126" t="s">
        <v>799</v>
      </c>
      <c r="N229" s="129">
        <v>43191</v>
      </c>
      <c r="O229" s="129">
        <v>44044</v>
      </c>
      <c r="P229" s="129">
        <v>44149</v>
      </c>
      <c r="Q229" s="330">
        <v>116270</v>
      </c>
      <c r="R229" s="331"/>
      <c r="S229" s="324">
        <v>48925</v>
      </c>
      <c r="T229" s="324">
        <v>0</v>
      </c>
      <c r="U229" s="324">
        <v>7910</v>
      </c>
      <c r="V229" s="324">
        <v>0</v>
      </c>
      <c r="W229" s="324">
        <v>1300</v>
      </c>
      <c r="X229" s="324">
        <v>0</v>
      </c>
      <c r="Y229" s="312">
        <v>58135</v>
      </c>
      <c r="Z229" s="325">
        <v>58135</v>
      </c>
      <c r="AA229" s="325">
        <v>0</v>
      </c>
      <c r="AB229" s="326"/>
      <c r="AC229" s="324">
        <v>48925</v>
      </c>
      <c r="AD229" s="324">
        <v>0</v>
      </c>
      <c r="AE229" s="324">
        <v>7910</v>
      </c>
      <c r="AF229" s="324">
        <v>0</v>
      </c>
      <c r="AG229" s="324">
        <v>1300</v>
      </c>
      <c r="AH229" s="324"/>
      <c r="AI229" s="312">
        <v>58135</v>
      </c>
      <c r="AJ229" s="327">
        <v>58135</v>
      </c>
      <c r="AK229" s="327">
        <v>0</v>
      </c>
      <c r="AL229" s="339"/>
      <c r="AM229" s="324">
        <v>0</v>
      </c>
      <c r="AN229" s="324">
        <v>0</v>
      </c>
      <c r="AO229" s="324">
        <v>0</v>
      </c>
      <c r="AP229" s="324">
        <v>0</v>
      </c>
      <c r="AQ229" s="324">
        <v>0</v>
      </c>
      <c r="AR229" s="324">
        <v>0</v>
      </c>
      <c r="AS229" s="293">
        <v>0</v>
      </c>
      <c r="AT229" s="327">
        <v>0</v>
      </c>
      <c r="AU229" s="327">
        <v>0</v>
      </c>
      <c r="AV229" s="328"/>
      <c r="AW229" s="279"/>
      <c r="AX229" s="279"/>
      <c r="AY229" s="279"/>
      <c r="AZ229" s="279"/>
      <c r="BA229" s="279"/>
      <c r="BB229" s="279"/>
      <c r="BC229" s="293"/>
      <c r="BD229" s="319"/>
      <c r="BE229" s="293"/>
      <c r="BF229" s="319"/>
      <c r="BG229" s="293"/>
      <c r="BH229" s="293"/>
      <c r="BI229" s="337">
        <v>116270</v>
      </c>
      <c r="BJ229" s="338">
        <v>0</v>
      </c>
      <c r="BK229" s="126"/>
    </row>
    <row r="230" spans="1:63" ht="15.75">
      <c r="A230" s="314">
        <v>507641</v>
      </c>
      <c r="B230" s="125" t="s">
        <v>1150</v>
      </c>
      <c r="C230" s="124" t="s">
        <v>272</v>
      </c>
      <c r="D230" s="126">
        <v>208897</v>
      </c>
      <c r="E230" s="124" t="s">
        <v>1151</v>
      </c>
      <c r="F230" s="124" t="s">
        <v>1152</v>
      </c>
      <c r="G230" s="127" t="s">
        <v>46</v>
      </c>
      <c r="H230" s="126" t="s">
        <v>628</v>
      </c>
      <c r="I230" s="126" t="s">
        <v>598</v>
      </c>
      <c r="J230" s="126" t="s">
        <v>795</v>
      </c>
      <c r="K230" s="341" t="s">
        <v>801</v>
      </c>
      <c r="L230" s="121" t="s">
        <v>519</v>
      </c>
      <c r="M230" s="123" t="s">
        <v>755</v>
      </c>
      <c r="N230" s="129">
        <v>43709</v>
      </c>
      <c r="O230" s="129">
        <v>44895</v>
      </c>
      <c r="P230" s="129">
        <v>44895</v>
      </c>
      <c r="Q230" s="323">
        <v>221775</v>
      </c>
      <c r="R230" s="319"/>
      <c r="S230" s="324">
        <v>49625</v>
      </c>
      <c r="T230" s="324"/>
      <c r="U230" s="324">
        <v>12600</v>
      </c>
      <c r="V230" s="324"/>
      <c r="W230" s="324">
        <v>11700</v>
      </c>
      <c r="X230" s="324"/>
      <c r="Y230" s="312">
        <v>73925</v>
      </c>
      <c r="Z230" s="325">
        <v>73925</v>
      </c>
      <c r="AA230" s="325">
        <v>0</v>
      </c>
      <c r="AB230" s="326"/>
      <c r="AC230" s="324">
        <v>49625</v>
      </c>
      <c r="AD230" s="324"/>
      <c r="AE230" s="324">
        <v>12600</v>
      </c>
      <c r="AF230" s="324"/>
      <c r="AG230" s="324">
        <v>11700</v>
      </c>
      <c r="AH230" s="324"/>
      <c r="AI230" s="312">
        <v>73925</v>
      </c>
      <c r="AJ230" s="327">
        <v>73925</v>
      </c>
      <c r="AK230" s="327">
        <v>0</v>
      </c>
      <c r="AL230" s="328"/>
      <c r="AM230" s="324">
        <v>49625</v>
      </c>
      <c r="AN230" s="324"/>
      <c r="AO230" s="324">
        <v>12600</v>
      </c>
      <c r="AP230" s="324"/>
      <c r="AQ230" s="324">
        <v>11700</v>
      </c>
      <c r="AR230" s="279"/>
      <c r="AS230" s="293">
        <v>73925</v>
      </c>
      <c r="AT230" s="327">
        <v>73925</v>
      </c>
      <c r="AU230" s="327">
        <v>0</v>
      </c>
      <c r="AV230" s="328"/>
      <c r="AW230" s="279"/>
      <c r="AX230" s="279"/>
      <c r="AY230" s="279"/>
      <c r="AZ230" s="279"/>
      <c r="BA230" s="279"/>
      <c r="BB230" s="279"/>
      <c r="BC230" s="293"/>
      <c r="BD230" s="319"/>
      <c r="BE230" s="293"/>
      <c r="BF230" s="319"/>
      <c r="BG230" s="293"/>
      <c r="BH230" s="293"/>
      <c r="BI230" s="337">
        <v>221775</v>
      </c>
      <c r="BJ230" s="338">
        <v>0</v>
      </c>
      <c r="BK230" s="126"/>
    </row>
    <row r="231" spans="1:63" ht="15.75">
      <c r="A231" s="314">
        <v>502527</v>
      </c>
      <c r="B231" s="125" t="s">
        <v>1153</v>
      </c>
      <c r="C231" s="124" t="s">
        <v>1154</v>
      </c>
      <c r="D231" s="126">
        <v>208908</v>
      </c>
      <c r="E231" s="121" t="s">
        <v>1155</v>
      </c>
      <c r="F231" s="121" t="s">
        <v>1156</v>
      </c>
      <c r="G231" s="127" t="s">
        <v>53</v>
      </c>
      <c r="H231" s="123" t="s">
        <v>597</v>
      </c>
      <c r="I231" s="126" t="s">
        <v>598</v>
      </c>
      <c r="J231" s="126" t="s">
        <v>659</v>
      </c>
      <c r="K231" s="161" t="s">
        <v>660</v>
      </c>
      <c r="L231" s="121" t="s">
        <v>652</v>
      </c>
      <c r="M231" s="123" t="s">
        <v>1157</v>
      </c>
      <c r="N231" s="129">
        <v>42614</v>
      </c>
      <c r="O231" s="129">
        <v>43190</v>
      </c>
      <c r="P231" s="129">
        <v>43190</v>
      </c>
      <c r="Q231" s="330">
        <v>75000</v>
      </c>
      <c r="R231" s="331"/>
      <c r="S231" s="324">
        <v>25000</v>
      </c>
      <c r="T231" s="324">
        <v>9072</v>
      </c>
      <c r="U231" s="324">
        <v>40928</v>
      </c>
      <c r="V231" s="324"/>
      <c r="W231" s="324">
        <v>0</v>
      </c>
      <c r="X231" s="324">
        <v>0</v>
      </c>
      <c r="Y231" s="312">
        <v>75000</v>
      </c>
      <c r="Z231" s="325">
        <v>75000</v>
      </c>
      <c r="AA231" s="325">
        <v>0</v>
      </c>
      <c r="AB231" s="326"/>
      <c r="AC231" s="324" t="s">
        <v>602</v>
      </c>
      <c r="AD231" s="324" t="s">
        <v>602</v>
      </c>
      <c r="AE231" s="324" t="s">
        <v>602</v>
      </c>
      <c r="AF231" s="324" t="s">
        <v>602</v>
      </c>
      <c r="AG231" s="324" t="s">
        <v>602</v>
      </c>
      <c r="AH231" s="324"/>
      <c r="AI231" s="312">
        <v>0</v>
      </c>
      <c r="AJ231" s="327">
        <v>0</v>
      </c>
      <c r="AK231" s="327">
        <v>0</v>
      </c>
      <c r="AL231" s="328"/>
      <c r="AM231" s="324">
        <v>0</v>
      </c>
      <c r="AN231" s="324">
        <v>0</v>
      </c>
      <c r="AO231" s="324">
        <v>0</v>
      </c>
      <c r="AP231" s="324">
        <v>0</v>
      </c>
      <c r="AQ231" s="324">
        <v>0</v>
      </c>
      <c r="AR231" s="324">
        <v>0</v>
      </c>
      <c r="AS231" s="293">
        <v>0</v>
      </c>
      <c r="AT231" s="327">
        <v>0</v>
      </c>
      <c r="AU231" s="327">
        <v>0</v>
      </c>
      <c r="AV231" s="328"/>
      <c r="AW231" s="166"/>
      <c r="AX231" s="166"/>
      <c r="AY231" s="166"/>
      <c r="AZ231" s="166"/>
      <c r="BA231" s="166"/>
      <c r="BB231" s="166"/>
      <c r="BC231" s="293"/>
      <c r="BD231" s="319"/>
      <c r="BE231" s="293"/>
      <c r="BF231" s="319"/>
      <c r="BG231" s="293"/>
      <c r="BH231" s="293"/>
      <c r="BI231" s="337">
        <v>75000</v>
      </c>
      <c r="BJ231" s="338">
        <v>0</v>
      </c>
      <c r="BK231" s="126" t="s">
        <v>1068</v>
      </c>
    </row>
    <row r="232" spans="1:63" ht="15.75">
      <c r="A232" s="314">
        <v>502564</v>
      </c>
      <c r="B232" s="125" t="s">
        <v>1158</v>
      </c>
      <c r="C232" s="124" t="s">
        <v>1159</v>
      </c>
      <c r="D232" s="126">
        <v>208923</v>
      </c>
      <c r="E232" s="121" t="s">
        <v>1160</v>
      </c>
      <c r="F232" s="121" t="s">
        <v>1161</v>
      </c>
      <c r="G232" s="127" t="s">
        <v>68</v>
      </c>
      <c r="H232" s="123" t="s">
        <v>597</v>
      </c>
      <c r="I232" s="126" t="s">
        <v>598</v>
      </c>
      <c r="J232" s="126" t="s">
        <v>672</v>
      </c>
      <c r="K232" s="128" t="s">
        <v>673</v>
      </c>
      <c r="L232" s="121" t="s">
        <v>652</v>
      </c>
      <c r="M232" s="123" t="s">
        <v>1162</v>
      </c>
      <c r="N232" s="129">
        <v>42826</v>
      </c>
      <c r="O232" s="129">
        <v>43190</v>
      </c>
      <c r="P232" s="129">
        <v>43190</v>
      </c>
      <c r="Q232" s="330">
        <v>75000</v>
      </c>
      <c r="R232" s="331"/>
      <c r="S232" s="324">
        <v>40000</v>
      </c>
      <c r="T232" s="324">
        <v>0</v>
      </c>
      <c r="U232" s="324">
        <v>35000</v>
      </c>
      <c r="V232" s="324"/>
      <c r="W232" s="324">
        <v>0</v>
      </c>
      <c r="X232" s="324">
        <v>0</v>
      </c>
      <c r="Y232" s="312">
        <v>75000</v>
      </c>
      <c r="Z232" s="325">
        <v>75000</v>
      </c>
      <c r="AA232" s="325">
        <v>0</v>
      </c>
      <c r="AB232" s="326"/>
      <c r="AC232" s="324" t="s">
        <v>602</v>
      </c>
      <c r="AD232" s="324" t="s">
        <v>602</v>
      </c>
      <c r="AE232" s="324" t="s">
        <v>602</v>
      </c>
      <c r="AF232" s="324" t="s">
        <v>602</v>
      </c>
      <c r="AG232" s="324" t="s">
        <v>602</v>
      </c>
      <c r="AH232" s="324"/>
      <c r="AI232" s="312">
        <v>0</v>
      </c>
      <c r="AJ232" s="327">
        <v>0</v>
      </c>
      <c r="AK232" s="327">
        <v>0</v>
      </c>
      <c r="AL232" s="328"/>
      <c r="AM232" s="324">
        <v>0</v>
      </c>
      <c r="AN232" s="324">
        <v>0</v>
      </c>
      <c r="AO232" s="324">
        <v>0</v>
      </c>
      <c r="AP232" s="324">
        <v>0</v>
      </c>
      <c r="AQ232" s="324">
        <v>0</v>
      </c>
      <c r="AR232" s="324">
        <v>0</v>
      </c>
      <c r="AS232" s="293">
        <v>0</v>
      </c>
      <c r="AT232" s="327">
        <v>0</v>
      </c>
      <c r="AU232" s="327">
        <v>0</v>
      </c>
      <c r="AV232" s="328"/>
      <c r="AW232" s="166"/>
      <c r="AX232" s="166"/>
      <c r="AY232" s="166"/>
      <c r="AZ232" s="166"/>
      <c r="BA232" s="166"/>
      <c r="BB232" s="166"/>
      <c r="BC232" s="293"/>
      <c r="BD232" s="319"/>
      <c r="BE232" s="293"/>
      <c r="BF232" s="319"/>
      <c r="BG232" s="293"/>
      <c r="BH232" s="293"/>
      <c r="BI232" s="337">
        <v>75000</v>
      </c>
      <c r="BJ232" s="338">
        <v>0</v>
      </c>
      <c r="BK232" s="126" t="s">
        <v>1068</v>
      </c>
    </row>
    <row r="233" spans="1:63" ht="15.75">
      <c r="A233" s="314">
        <v>502801</v>
      </c>
      <c r="B233" s="125" t="s">
        <v>1163</v>
      </c>
      <c r="C233" s="124" t="s">
        <v>108</v>
      </c>
      <c r="D233" s="126">
        <v>208934</v>
      </c>
      <c r="E233" s="124" t="s">
        <v>1164</v>
      </c>
      <c r="F233" s="124" t="s">
        <v>1165</v>
      </c>
      <c r="G233" s="127" t="s">
        <v>75</v>
      </c>
      <c r="H233" s="126" t="s">
        <v>597</v>
      </c>
      <c r="I233" s="126" t="s">
        <v>598</v>
      </c>
      <c r="J233" s="126" t="s">
        <v>599</v>
      </c>
      <c r="K233" s="128" t="s">
        <v>600</v>
      </c>
      <c r="L233" s="121" t="s">
        <v>19</v>
      </c>
      <c r="M233" s="123" t="s">
        <v>753</v>
      </c>
      <c r="N233" s="129">
        <v>42826</v>
      </c>
      <c r="O233" s="129">
        <v>43555</v>
      </c>
      <c r="P233" s="129">
        <v>43190</v>
      </c>
      <c r="Q233" s="330">
        <v>76600</v>
      </c>
      <c r="R233" s="331"/>
      <c r="S233" s="324">
        <v>24240</v>
      </c>
      <c r="T233" s="324">
        <v>0</v>
      </c>
      <c r="U233" s="324">
        <v>10100</v>
      </c>
      <c r="V233" s="324">
        <v>0</v>
      </c>
      <c r="W233" s="324">
        <v>3960</v>
      </c>
      <c r="X233" s="324">
        <v>0</v>
      </c>
      <c r="Y233" s="312">
        <v>38300</v>
      </c>
      <c r="Z233" s="325">
        <v>38300</v>
      </c>
      <c r="AA233" s="325">
        <v>0</v>
      </c>
      <c r="AB233" s="326"/>
      <c r="AC233" s="324">
        <v>24240</v>
      </c>
      <c r="AD233" s="324">
        <v>0</v>
      </c>
      <c r="AE233" s="324">
        <v>10100</v>
      </c>
      <c r="AF233" s="324"/>
      <c r="AG233" s="324">
        <v>3960</v>
      </c>
      <c r="AH233" s="324"/>
      <c r="AI233" s="312">
        <v>38300</v>
      </c>
      <c r="AJ233" s="327">
        <v>38300</v>
      </c>
      <c r="AK233" s="327">
        <v>0</v>
      </c>
      <c r="AL233" s="339"/>
      <c r="AM233" s="324" t="s">
        <v>602</v>
      </c>
      <c r="AN233" s="324" t="s">
        <v>602</v>
      </c>
      <c r="AO233" s="324" t="s">
        <v>602</v>
      </c>
      <c r="AP233" s="324" t="s">
        <v>602</v>
      </c>
      <c r="AQ233" s="324" t="s">
        <v>602</v>
      </c>
      <c r="AR233" s="279" t="s">
        <v>602</v>
      </c>
      <c r="AS233" s="293">
        <v>0</v>
      </c>
      <c r="AT233" s="327">
        <v>0</v>
      </c>
      <c r="AU233" s="327">
        <v>0</v>
      </c>
      <c r="AV233" s="328"/>
      <c r="AW233" s="279"/>
      <c r="AX233" s="279"/>
      <c r="AY233" s="279"/>
      <c r="AZ233" s="279"/>
      <c r="BA233" s="279"/>
      <c r="BB233" s="279"/>
      <c r="BC233" s="293"/>
      <c r="BD233" s="319"/>
      <c r="BE233" s="293"/>
      <c r="BF233" s="319"/>
      <c r="BG233" s="293"/>
      <c r="BH233" s="293"/>
      <c r="BI233" s="337">
        <v>76600</v>
      </c>
      <c r="BJ233" s="338">
        <v>0</v>
      </c>
      <c r="BK233" s="126"/>
    </row>
    <row r="234" spans="1:63" ht="15.75">
      <c r="A234" s="314">
        <v>507641</v>
      </c>
      <c r="B234" s="125" t="s">
        <v>1163</v>
      </c>
      <c r="C234" s="124" t="s">
        <v>108</v>
      </c>
      <c r="D234" s="126">
        <v>208934</v>
      </c>
      <c r="E234" s="124" t="s">
        <v>1164</v>
      </c>
      <c r="F234" s="124" t="s">
        <v>1165</v>
      </c>
      <c r="G234" s="127" t="s">
        <v>75</v>
      </c>
      <c r="H234" s="126" t="s">
        <v>628</v>
      </c>
      <c r="I234" s="126" t="s">
        <v>598</v>
      </c>
      <c r="J234" s="126" t="s">
        <v>599</v>
      </c>
      <c r="K234" s="128" t="s">
        <v>600</v>
      </c>
      <c r="L234" s="121" t="s">
        <v>519</v>
      </c>
      <c r="M234" s="123" t="s">
        <v>755</v>
      </c>
      <c r="N234" s="129">
        <v>43709</v>
      </c>
      <c r="O234" s="129">
        <v>44895</v>
      </c>
      <c r="P234" s="129">
        <v>44895</v>
      </c>
      <c r="Q234" s="323">
        <v>176151</v>
      </c>
      <c r="R234" s="319"/>
      <c r="S234" s="324">
        <v>34750</v>
      </c>
      <c r="T234" s="324"/>
      <c r="U234" s="324">
        <v>20467</v>
      </c>
      <c r="V234" s="324"/>
      <c r="W234" s="324">
        <v>3500</v>
      </c>
      <c r="X234" s="324"/>
      <c r="Y234" s="312">
        <v>58717</v>
      </c>
      <c r="Z234" s="325">
        <v>58717</v>
      </c>
      <c r="AA234" s="325">
        <v>0</v>
      </c>
      <c r="AB234" s="326"/>
      <c r="AC234" s="347">
        <v>34750</v>
      </c>
      <c r="AD234" s="347"/>
      <c r="AE234" s="324">
        <v>20467</v>
      </c>
      <c r="AF234" s="324"/>
      <c r="AG234" s="324">
        <v>3500</v>
      </c>
      <c r="AH234" s="324"/>
      <c r="AI234" s="312">
        <v>58717</v>
      </c>
      <c r="AJ234" s="327">
        <v>58717</v>
      </c>
      <c r="AK234" s="327">
        <v>0</v>
      </c>
      <c r="AL234" s="328"/>
      <c r="AM234" s="324">
        <v>34750</v>
      </c>
      <c r="AN234" s="324"/>
      <c r="AO234" s="324">
        <v>20467</v>
      </c>
      <c r="AP234" s="324"/>
      <c r="AQ234" s="324">
        <v>3500</v>
      </c>
      <c r="AR234" s="324"/>
      <c r="AS234" s="293">
        <v>58717</v>
      </c>
      <c r="AT234" s="327">
        <v>58717</v>
      </c>
      <c r="AU234" s="327">
        <v>0</v>
      </c>
      <c r="AV234" s="328"/>
      <c r="AW234" s="279"/>
      <c r="AX234" s="279"/>
      <c r="AY234" s="279"/>
      <c r="AZ234" s="279"/>
      <c r="BA234" s="279"/>
      <c r="BB234" s="279"/>
      <c r="BC234" s="293"/>
      <c r="BD234" s="319"/>
      <c r="BE234" s="293"/>
      <c r="BF234" s="319"/>
      <c r="BG234" s="293"/>
      <c r="BH234" s="293"/>
      <c r="BI234" s="337">
        <v>176151</v>
      </c>
      <c r="BJ234" s="338">
        <v>0</v>
      </c>
      <c r="BK234" s="126"/>
    </row>
    <row r="235" spans="1:63" ht="15.75">
      <c r="A235" s="382">
        <v>512724</v>
      </c>
      <c r="B235" s="125" t="s">
        <v>1163</v>
      </c>
      <c r="C235" s="124" t="s">
        <v>108</v>
      </c>
      <c r="D235" s="126">
        <v>208934</v>
      </c>
      <c r="E235" s="124" t="s">
        <v>1164</v>
      </c>
      <c r="F235" s="124" t="s">
        <v>1165</v>
      </c>
      <c r="G235" s="127" t="s">
        <v>75</v>
      </c>
      <c r="H235" s="126" t="s">
        <v>628</v>
      </c>
      <c r="I235" s="126" t="s">
        <v>598</v>
      </c>
      <c r="J235" s="126" t="s">
        <v>599</v>
      </c>
      <c r="K235" s="128" t="s">
        <v>600</v>
      </c>
      <c r="L235" s="121" t="s">
        <v>685</v>
      </c>
      <c r="M235" s="123" t="s">
        <v>802</v>
      </c>
      <c r="N235" s="129">
        <v>44409</v>
      </c>
      <c r="O235" s="129">
        <v>44957</v>
      </c>
      <c r="P235" s="129">
        <v>44957</v>
      </c>
      <c r="Q235" s="330">
        <v>67080</v>
      </c>
      <c r="R235" s="331"/>
      <c r="S235" s="324">
        <v>38000</v>
      </c>
      <c r="T235" s="324"/>
      <c r="U235" s="324">
        <v>14000</v>
      </c>
      <c r="V235" s="324"/>
      <c r="W235" s="324">
        <v>2640</v>
      </c>
      <c r="X235" s="324">
        <v>12440</v>
      </c>
      <c r="Y235" s="312">
        <v>67080</v>
      </c>
      <c r="Z235" s="325">
        <v>67080</v>
      </c>
      <c r="AA235" s="325">
        <v>0</v>
      </c>
      <c r="AB235" s="326"/>
      <c r="AC235" s="347">
        <v>17500</v>
      </c>
      <c r="AD235" s="347"/>
      <c r="AE235" s="324">
        <v>14000</v>
      </c>
      <c r="AF235" s="324"/>
      <c r="AG235" s="324">
        <v>1700</v>
      </c>
      <c r="AH235" s="324">
        <v>9720</v>
      </c>
      <c r="AI235" s="312">
        <v>42920</v>
      </c>
      <c r="AJ235" s="327">
        <v>42920</v>
      </c>
      <c r="AK235" s="327">
        <v>0</v>
      </c>
      <c r="AL235" s="339"/>
      <c r="AM235" s="324"/>
      <c r="AN235" s="324"/>
      <c r="AO235" s="324"/>
      <c r="AP235" s="324"/>
      <c r="AQ235" s="324"/>
      <c r="AR235" s="279"/>
      <c r="AS235" s="293"/>
      <c r="AT235" s="327"/>
      <c r="AU235" s="327"/>
      <c r="AV235" s="328"/>
      <c r="AW235" s="279"/>
      <c r="AX235" s="279"/>
      <c r="AY235" s="279"/>
      <c r="AZ235" s="279"/>
      <c r="BA235" s="279"/>
      <c r="BB235" s="279"/>
      <c r="BC235" s="293"/>
      <c r="BD235" s="319"/>
      <c r="BE235" s="293"/>
      <c r="BF235" s="319"/>
      <c r="BG235" s="293"/>
      <c r="BH235" s="293"/>
      <c r="BI235" s="337">
        <v>110000</v>
      </c>
      <c r="BJ235" s="338">
        <v>42920</v>
      </c>
      <c r="BK235" s="126"/>
    </row>
    <row r="236" spans="1:63" ht="15.75">
      <c r="A236" s="314">
        <v>504222</v>
      </c>
      <c r="B236" s="125" t="s">
        <v>1166</v>
      </c>
      <c r="C236" s="124" t="s">
        <v>1167</v>
      </c>
      <c r="D236" s="126">
        <v>209142</v>
      </c>
      <c r="E236" s="121" t="s">
        <v>1168</v>
      </c>
      <c r="F236" s="121" t="s">
        <v>1169</v>
      </c>
      <c r="G236" s="127" t="s">
        <v>46</v>
      </c>
      <c r="H236" s="123" t="s">
        <v>597</v>
      </c>
      <c r="I236" s="126" t="s">
        <v>598</v>
      </c>
      <c r="J236" s="126" t="s">
        <v>888</v>
      </c>
      <c r="K236" s="128" t="s">
        <v>731</v>
      </c>
      <c r="L236" s="121" t="s">
        <v>518</v>
      </c>
      <c r="M236" s="143" t="s">
        <v>601</v>
      </c>
      <c r="N236" s="129">
        <v>43101</v>
      </c>
      <c r="O236" s="129">
        <v>44074</v>
      </c>
      <c r="P236" s="129">
        <v>44149</v>
      </c>
      <c r="Q236" s="330">
        <v>150000</v>
      </c>
      <c r="R236" s="324">
        <v>150000</v>
      </c>
      <c r="S236" s="324">
        <v>0</v>
      </c>
      <c r="T236" s="324">
        <v>0</v>
      </c>
      <c r="U236" s="324">
        <v>0</v>
      </c>
      <c r="V236" s="324">
        <v>0</v>
      </c>
      <c r="W236" s="324">
        <v>0</v>
      </c>
      <c r="X236" s="324"/>
      <c r="Y236" s="312">
        <v>150000</v>
      </c>
      <c r="Z236" s="325">
        <v>150000</v>
      </c>
      <c r="AA236" s="325">
        <v>0</v>
      </c>
      <c r="AB236" s="324"/>
      <c r="AC236" s="324">
        <v>0</v>
      </c>
      <c r="AD236" s="324">
        <v>0</v>
      </c>
      <c r="AE236" s="324">
        <v>0</v>
      </c>
      <c r="AF236" s="324">
        <v>0</v>
      </c>
      <c r="AG236" s="324"/>
      <c r="AH236" s="324"/>
      <c r="AI236" s="312">
        <v>0</v>
      </c>
      <c r="AJ236" s="327">
        <v>0</v>
      </c>
      <c r="AK236" s="327">
        <v>0</v>
      </c>
      <c r="AL236" s="328"/>
      <c r="AM236" s="324">
        <v>0</v>
      </c>
      <c r="AN236" s="324">
        <v>0</v>
      </c>
      <c r="AO236" s="324">
        <v>0</v>
      </c>
      <c r="AP236" s="324">
        <v>0</v>
      </c>
      <c r="AQ236" s="324">
        <v>0</v>
      </c>
      <c r="AR236" s="324">
        <v>0</v>
      </c>
      <c r="AS236" s="293">
        <v>0</v>
      </c>
      <c r="AT236" s="327">
        <v>0</v>
      </c>
      <c r="AU236" s="327">
        <v>0</v>
      </c>
      <c r="AV236" s="328"/>
      <c r="AW236" s="279"/>
      <c r="AX236" s="279"/>
      <c r="AY236" s="279"/>
      <c r="AZ236" s="279"/>
      <c r="BA236" s="279"/>
      <c r="BB236" s="279"/>
      <c r="BC236" s="293"/>
      <c r="BD236" s="319"/>
      <c r="BE236" s="293"/>
      <c r="BF236" s="319"/>
      <c r="BG236" s="293"/>
      <c r="BH236" s="293"/>
      <c r="BI236" s="337">
        <v>150000</v>
      </c>
      <c r="BJ236" s="338">
        <v>0</v>
      </c>
      <c r="BK236" s="280" t="s">
        <v>1170</v>
      </c>
    </row>
    <row r="237" spans="1:63" ht="15.75">
      <c r="A237" s="314">
        <v>504223</v>
      </c>
      <c r="B237" s="125" t="s">
        <v>1166</v>
      </c>
      <c r="C237" s="124" t="s">
        <v>1167</v>
      </c>
      <c r="D237" s="126">
        <v>209142</v>
      </c>
      <c r="E237" s="121" t="s">
        <v>1168</v>
      </c>
      <c r="F237" s="121" t="s">
        <v>1169</v>
      </c>
      <c r="G237" s="127" t="s">
        <v>46</v>
      </c>
      <c r="H237" s="123" t="s">
        <v>597</v>
      </c>
      <c r="I237" s="126" t="s">
        <v>598</v>
      </c>
      <c r="J237" s="126" t="s">
        <v>888</v>
      </c>
      <c r="K237" s="128" t="s">
        <v>731</v>
      </c>
      <c r="L237" s="121" t="s">
        <v>518</v>
      </c>
      <c r="M237" s="143" t="s">
        <v>601</v>
      </c>
      <c r="N237" s="129">
        <v>43101</v>
      </c>
      <c r="O237" s="129">
        <v>43830</v>
      </c>
      <c r="P237" s="129">
        <v>43830</v>
      </c>
      <c r="Q237" s="330">
        <v>111200</v>
      </c>
      <c r="R237" s="331"/>
      <c r="S237" s="324">
        <v>55600</v>
      </c>
      <c r="T237" s="324">
        <v>0</v>
      </c>
      <c r="U237" s="324">
        <v>0</v>
      </c>
      <c r="V237" s="324">
        <v>0</v>
      </c>
      <c r="W237" s="324">
        <v>0</v>
      </c>
      <c r="X237" s="324">
        <v>0</v>
      </c>
      <c r="Y237" s="312">
        <v>55600</v>
      </c>
      <c r="Z237" s="325">
        <v>55600</v>
      </c>
      <c r="AA237" s="325">
        <v>0</v>
      </c>
      <c r="AB237" s="326"/>
      <c r="AC237" s="324">
        <v>55600</v>
      </c>
      <c r="AD237" s="324">
        <v>0</v>
      </c>
      <c r="AE237" s="324">
        <v>0</v>
      </c>
      <c r="AF237" s="324">
        <v>0</v>
      </c>
      <c r="AG237" s="324">
        <v>0</v>
      </c>
      <c r="AH237" s="324"/>
      <c r="AI237" s="312">
        <v>55600</v>
      </c>
      <c r="AJ237" s="327">
        <v>55600</v>
      </c>
      <c r="AK237" s="327">
        <v>0</v>
      </c>
      <c r="AL237" s="328"/>
      <c r="AM237" s="324">
        <v>0</v>
      </c>
      <c r="AN237" s="324">
        <v>0</v>
      </c>
      <c r="AO237" s="324">
        <v>0</v>
      </c>
      <c r="AP237" s="324">
        <v>0</v>
      </c>
      <c r="AQ237" s="324">
        <v>0</v>
      </c>
      <c r="AR237" s="324">
        <v>0</v>
      </c>
      <c r="AS237" s="293">
        <v>0</v>
      </c>
      <c r="AT237" s="327">
        <v>0</v>
      </c>
      <c r="AU237" s="327">
        <v>0</v>
      </c>
      <c r="AV237" s="328"/>
      <c r="AW237" s="279"/>
      <c r="AX237" s="279"/>
      <c r="AY237" s="279"/>
      <c r="AZ237" s="279"/>
      <c r="BA237" s="279"/>
      <c r="BB237" s="279"/>
      <c r="BC237" s="293"/>
      <c r="BD237" s="319"/>
      <c r="BE237" s="293"/>
      <c r="BF237" s="319"/>
      <c r="BG237" s="293"/>
      <c r="BH237" s="293"/>
      <c r="BI237" s="337">
        <v>111200</v>
      </c>
      <c r="BJ237" s="338">
        <v>0</v>
      </c>
      <c r="BK237" s="280" t="s">
        <v>1171</v>
      </c>
    </row>
    <row r="238" spans="1:63" ht="15.75">
      <c r="A238" s="314">
        <v>507693</v>
      </c>
      <c r="B238" s="124" t="s">
        <v>1172</v>
      </c>
      <c r="C238" s="124" t="s">
        <v>112</v>
      </c>
      <c r="D238" s="126">
        <v>209184</v>
      </c>
      <c r="E238" s="124" t="s">
        <v>1173</v>
      </c>
      <c r="F238" s="124" t="s">
        <v>1174</v>
      </c>
      <c r="G238" s="127" t="s">
        <v>53</v>
      </c>
      <c r="H238" s="126" t="s">
        <v>628</v>
      </c>
      <c r="I238" s="126" t="s">
        <v>598</v>
      </c>
      <c r="J238" s="126" t="s">
        <v>645</v>
      </c>
      <c r="K238" s="128" t="s">
        <v>666</v>
      </c>
      <c r="L238" s="121" t="s">
        <v>519</v>
      </c>
      <c r="M238" s="123" t="s">
        <v>717</v>
      </c>
      <c r="N238" s="129">
        <v>43709</v>
      </c>
      <c r="O238" s="129">
        <v>44895</v>
      </c>
      <c r="P238" s="129">
        <v>44895</v>
      </c>
      <c r="Q238" s="323">
        <v>324000</v>
      </c>
      <c r="R238" s="319"/>
      <c r="S238" s="324">
        <v>0</v>
      </c>
      <c r="T238" s="324">
        <v>0</v>
      </c>
      <c r="U238" s="324">
        <v>108000</v>
      </c>
      <c r="V238" s="324">
        <v>0</v>
      </c>
      <c r="W238" s="324">
        <v>0</v>
      </c>
      <c r="X238" s="324">
        <v>0</v>
      </c>
      <c r="Y238" s="312">
        <v>108000</v>
      </c>
      <c r="Z238" s="325">
        <v>108000</v>
      </c>
      <c r="AA238" s="325">
        <v>0</v>
      </c>
      <c r="AB238" s="326"/>
      <c r="AC238" s="324">
        <v>0</v>
      </c>
      <c r="AD238" s="324">
        <v>0</v>
      </c>
      <c r="AE238" s="324">
        <v>108000</v>
      </c>
      <c r="AF238" s="324">
        <v>0</v>
      </c>
      <c r="AG238" s="324">
        <v>0</v>
      </c>
      <c r="AH238" s="324">
        <v>0</v>
      </c>
      <c r="AI238" s="312">
        <v>108000</v>
      </c>
      <c r="AJ238" s="327">
        <v>108000</v>
      </c>
      <c r="AK238" s="327">
        <v>0</v>
      </c>
      <c r="AL238" s="328"/>
      <c r="AM238" s="324">
        <v>0</v>
      </c>
      <c r="AN238" s="324">
        <v>0</v>
      </c>
      <c r="AO238" s="324">
        <v>108000</v>
      </c>
      <c r="AP238" s="324">
        <v>0</v>
      </c>
      <c r="AQ238" s="279">
        <v>0</v>
      </c>
      <c r="AR238" s="279">
        <v>0</v>
      </c>
      <c r="AS238" s="293">
        <v>108000</v>
      </c>
      <c r="AT238" s="327">
        <v>108000</v>
      </c>
      <c r="AU238" s="327">
        <v>0</v>
      </c>
      <c r="AV238" s="328"/>
      <c r="AW238" s="279"/>
      <c r="AX238" s="279"/>
      <c r="AY238" s="279"/>
      <c r="AZ238" s="279"/>
      <c r="BA238" s="279"/>
      <c r="BB238" s="279"/>
      <c r="BC238" s="293"/>
      <c r="BD238" s="319"/>
      <c r="BE238" s="293"/>
      <c r="BF238" s="319"/>
      <c r="BG238" s="293"/>
      <c r="BH238" s="293"/>
      <c r="BI238" s="337">
        <v>324000</v>
      </c>
      <c r="BJ238" s="338">
        <v>0</v>
      </c>
      <c r="BK238" s="126"/>
    </row>
    <row r="239" spans="1:63" ht="15.75">
      <c r="A239" s="314">
        <v>512731</v>
      </c>
      <c r="B239" s="124" t="s">
        <v>1172</v>
      </c>
      <c r="C239" s="124" t="s">
        <v>112</v>
      </c>
      <c r="D239" s="126">
        <v>209184</v>
      </c>
      <c r="E239" s="124" t="s">
        <v>1173</v>
      </c>
      <c r="F239" s="124" t="s">
        <v>1174</v>
      </c>
      <c r="G239" s="127" t="s">
        <v>53</v>
      </c>
      <c r="H239" s="126" t="s">
        <v>628</v>
      </c>
      <c r="I239" s="126" t="s">
        <v>598</v>
      </c>
      <c r="J239" s="126" t="s">
        <v>645</v>
      </c>
      <c r="K239" s="128" t="s">
        <v>666</v>
      </c>
      <c r="L239" s="121" t="s">
        <v>685</v>
      </c>
      <c r="M239" s="123" t="s">
        <v>1175</v>
      </c>
      <c r="N239" s="129">
        <v>44409</v>
      </c>
      <c r="O239" s="129">
        <v>44957</v>
      </c>
      <c r="P239" s="129">
        <v>44957</v>
      </c>
      <c r="Q239" s="323">
        <v>20000</v>
      </c>
      <c r="R239" s="319"/>
      <c r="S239" s="324">
        <v>0</v>
      </c>
      <c r="T239" s="324"/>
      <c r="U239" s="324">
        <v>15000</v>
      </c>
      <c r="V239" s="324"/>
      <c r="W239" s="324"/>
      <c r="X239" s="324">
        <v>5000</v>
      </c>
      <c r="Y239" s="312">
        <v>20000</v>
      </c>
      <c r="Z239" s="325">
        <v>20000</v>
      </c>
      <c r="AA239" s="325">
        <v>0</v>
      </c>
      <c r="AB239" s="326"/>
      <c r="AC239" s="324"/>
      <c r="AD239" s="324"/>
      <c r="AE239" s="324">
        <v>15000</v>
      </c>
      <c r="AF239" s="324"/>
      <c r="AG239" s="324"/>
      <c r="AH239" s="324">
        <v>5000</v>
      </c>
      <c r="AI239" s="312">
        <v>20000</v>
      </c>
      <c r="AJ239" s="327">
        <v>20000</v>
      </c>
      <c r="AK239" s="327">
        <v>0</v>
      </c>
      <c r="AL239" s="328"/>
      <c r="AM239" s="324"/>
      <c r="AN239" s="324"/>
      <c r="AO239" s="324"/>
      <c r="AP239" s="324"/>
      <c r="AQ239" s="279"/>
      <c r="AR239" s="279"/>
      <c r="AS239" s="293"/>
      <c r="AT239" s="327"/>
      <c r="AU239" s="327"/>
      <c r="AV239" s="328"/>
      <c r="AW239" s="279"/>
      <c r="AX239" s="279"/>
      <c r="AY239" s="279"/>
      <c r="AZ239" s="279"/>
      <c r="BA239" s="279"/>
      <c r="BB239" s="279"/>
      <c r="BC239" s="293"/>
      <c r="BD239" s="319"/>
      <c r="BE239" s="293"/>
      <c r="BF239" s="319"/>
      <c r="BG239" s="293"/>
      <c r="BH239" s="293"/>
      <c r="BI239" s="337">
        <v>40000</v>
      </c>
      <c r="BJ239" s="338">
        <v>20000</v>
      </c>
      <c r="BK239" s="126"/>
    </row>
    <row r="240" spans="1:63" ht="15.75">
      <c r="A240" s="314">
        <v>504877</v>
      </c>
      <c r="B240" s="125" t="s">
        <v>594</v>
      </c>
      <c r="C240" s="124" t="s">
        <v>216</v>
      </c>
      <c r="D240" s="126">
        <v>209194</v>
      </c>
      <c r="E240" s="148" t="s">
        <v>595</v>
      </c>
      <c r="F240" s="148" t="s">
        <v>596</v>
      </c>
      <c r="G240" s="127" t="s">
        <v>46</v>
      </c>
      <c r="H240" s="123" t="s">
        <v>597</v>
      </c>
      <c r="I240" s="126" t="s">
        <v>598</v>
      </c>
      <c r="J240" s="126" t="s">
        <v>599</v>
      </c>
      <c r="K240" s="128" t="s">
        <v>600</v>
      </c>
      <c r="L240" s="124" t="s">
        <v>518</v>
      </c>
      <c r="M240" s="126" t="s">
        <v>601</v>
      </c>
      <c r="N240" s="129">
        <v>43191</v>
      </c>
      <c r="O240" s="129">
        <v>44651</v>
      </c>
      <c r="P240" s="129">
        <v>44651</v>
      </c>
      <c r="Q240" s="330">
        <v>432500</v>
      </c>
      <c r="R240" s="331">
        <v>432500</v>
      </c>
      <c r="S240" s="324">
        <v>0</v>
      </c>
      <c r="T240" s="324">
        <v>0</v>
      </c>
      <c r="U240" s="324">
        <v>0</v>
      </c>
      <c r="V240" s="324">
        <v>0</v>
      </c>
      <c r="W240" s="324">
        <v>0</v>
      </c>
      <c r="X240" s="324"/>
      <c r="Y240" s="312">
        <v>432500</v>
      </c>
      <c r="Z240" s="325">
        <v>432500</v>
      </c>
      <c r="AA240" s="325">
        <v>0</v>
      </c>
      <c r="AB240" s="326"/>
      <c r="AC240" s="324" t="s">
        <v>602</v>
      </c>
      <c r="AD240" s="324" t="s">
        <v>602</v>
      </c>
      <c r="AE240" s="324" t="s">
        <v>602</v>
      </c>
      <c r="AF240" s="324" t="s">
        <v>602</v>
      </c>
      <c r="AG240" s="324" t="s">
        <v>602</v>
      </c>
      <c r="AH240" s="324"/>
      <c r="AI240" s="312">
        <v>0</v>
      </c>
      <c r="AJ240" s="327">
        <v>0</v>
      </c>
      <c r="AK240" s="327">
        <v>0</v>
      </c>
      <c r="AL240" s="328"/>
      <c r="AM240" s="324">
        <v>0</v>
      </c>
      <c r="AN240" s="324">
        <v>0</v>
      </c>
      <c r="AO240" s="324">
        <v>0</v>
      </c>
      <c r="AP240" s="324">
        <v>0</v>
      </c>
      <c r="AQ240" s="324">
        <v>0</v>
      </c>
      <c r="AR240" s="324">
        <v>0</v>
      </c>
      <c r="AS240" s="293">
        <v>0</v>
      </c>
      <c r="AT240" s="327">
        <v>0</v>
      </c>
      <c r="AU240" s="327">
        <v>0</v>
      </c>
      <c r="AV240" s="328"/>
      <c r="AW240" s="279"/>
      <c r="AX240" s="279"/>
      <c r="AY240" s="279"/>
      <c r="AZ240" s="279"/>
      <c r="BA240" s="279"/>
      <c r="BB240" s="279"/>
      <c r="BC240" s="293"/>
      <c r="BD240" s="319"/>
      <c r="BE240" s="293"/>
      <c r="BF240" s="319"/>
      <c r="BG240" s="293"/>
      <c r="BH240" s="293"/>
      <c r="BI240" s="337">
        <v>432500</v>
      </c>
      <c r="BJ240" s="338">
        <v>0</v>
      </c>
      <c r="BK240" s="280" t="s">
        <v>1176</v>
      </c>
    </row>
    <row r="241" spans="1:63" ht="15.75">
      <c r="A241" s="314">
        <v>504878</v>
      </c>
      <c r="B241" s="125" t="s">
        <v>594</v>
      </c>
      <c r="C241" s="124" t="s">
        <v>216</v>
      </c>
      <c r="D241" s="126">
        <v>209194</v>
      </c>
      <c r="E241" s="148" t="s">
        <v>595</v>
      </c>
      <c r="F241" s="148" t="s">
        <v>596</v>
      </c>
      <c r="G241" s="127" t="s">
        <v>46</v>
      </c>
      <c r="H241" s="123" t="s">
        <v>597</v>
      </c>
      <c r="I241" s="126" t="s">
        <v>598</v>
      </c>
      <c r="J241" s="126" t="s">
        <v>599</v>
      </c>
      <c r="K241" s="128" t="s">
        <v>600</v>
      </c>
      <c r="L241" s="121" t="s">
        <v>518</v>
      </c>
      <c r="M241" s="123" t="s">
        <v>601</v>
      </c>
      <c r="N241" s="129">
        <v>43191</v>
      </c>
      <c r="O241" s="129">
        <v>44286</v>
      </c>
      <c r="P241" s="129">
        <v>44286</v>
      </c>
      <c r="Q241" s="330">
        <v>111200</v>
      </c>
      <c r="R241" s="331"/>
      <c r="S241" s="324">
        <v>55600</v>
      </c>
      <c r="T241" s="324">
        <v>0</v>
      </c>
      <c r="U241" s="324">
        <v>0</v>
      </c>
      <c r="V241" s="324">
        <v>0</v>
      </c>
      <c r="W241" s="324">
        <v>0</v>
      </c>
      <c r="X241" s="324">
        <v>0</v>
      </c>
      <c r="Y241" s="312">
        <v>55600</v>
      </c>
      <c r="Z241" s="325">
        <v>55600</v>
      </c>
      <c r="AA241" s="325">
        <v>0</v>
      </c>
      <c r="AB241" s="326"/>
      <c r="AC241" s="324">
        <v>55600</v>
      </c>
      <c r="AD241" s="324">
        <v>0</v>
      </c>
      <c r="AE241" s="324">
        <v>0</v>
      </c>
      <c r="AF241" s="324">
        <v>0</v>
      </c>
      <c r="AG241" s="324">
        <v>0</v>
      </c>
      <c r="AH241" s="324"/>
      <c r="AI241" s="312">
        <v>55600</v>
      </c>
      <c r="AJ241" s="327">
        <v>55600</v>
      </c>
      <c r="AK241" s="327">
        <v>0</v>
      </c>
      <c r="AL241" s="328"/>
      <c r="AM241" s="324">
        <v>0</v>
      </c>
      <c r="AN241" s="324">
        <v>0</v>
      </c>
      <c r="AO241" s="324">
        <v>0</v>
      </c>
      <c r="AP241" s="324">
        <v>0</v>
      </c>
      <c r="AQ241" s="324">
        <v>0</v>
      </c>
      <c r="AR241" s="324">
        <v>0</v>
      </c>
      <c r="AS241" s="293">
        <v>0</v>
      </c>
      <c r="AT241" s="327">
        <v>0</v>
      </c>
      <c r="AU241" s="327">
        <v>0</v>
      </c>
      <c r="AV241" s="328"/>
      <c r="AW241" s="279"/>
      <c r="AX241" s="279"/>
      <c r="AY241" s="279"/>
      <c r="AZ241" s="279"/>
      <c r="BA241" s="279"/>
      <c r="BB241" s="279"/>
      <c r="BC241" s="293"/>
      <c r="BD241" s="319"/>
      <c r="BE241" s="293"/>
      <c r="BF241" s="319"/>
      <c r="BG241" s="293"/>
      <c r="BH241" s="293"/>
      <c r="BI241" s="337">
        <v>111200</v>
      </c>
      <c r="BJ241" s="338">
        <v>0</v>
      </c>
      <c r="BK241" s="280"/>
    </row>
    <row r="242" spans="1:63" ht="15.75">
      <c r="A242" s="314">
        <v>509653</v>
      </c>
      <c r="B242" s="125" t="s">
        <v>594</v>
      </c>
      <c r="C242" s="163" t="s">
        <v>216</v>
      </c>
      <c r="D242" s="163">
        <v>209194</v>
      </c>
      <c r="E242" s="148" t="s">
        <v>595</v>
      </c>
      <c r="F242" s="148" t="s">
        <v>596</v>
      </c>
      <c r="G242" s="127" t="s">
        <v>46</v>
      </c>
      <c r="H242" s="164" t="s">
        <v>597</v>
      </c>
      <c r="I242" s="163" t="s">
        <v>598</v>
      </c>
      <c r="J242" s="163" t="s">
        <v>599</v>
      </c>
      <c r="K242" s="128" t="s">
        <v>600</v>
      </c>
      <c r="L242" s="121" t="s">
        <v>19</v>
      </c>
      <c r="M242" s="123" t="s">
        <v>949</v>
      </c>
      <c r="N242" s="129">
        <v>44044</v>
      </c>
      <c r="O242" s="129">
        <v>44773</v>
      </c>
      <c r="P242" s="129">
        <v>44773</v>
      </c>
      <c r="Q242" s="330">
        <v>180000</v>
      </c>
      <c r="R242" s="319"/>
      <c r="S242" s="324">
        <v>65000</v>
      </c>
      <c r="T242" s="324">
        <v>0</v>
      </c>
      <c r="U242" s="324">
        <v>23000</v>
      </c>
      <c r="V242" s="324">
        <v>0</v>
      </c>
      <c r="W242" s="324">
        <v>2000</v>
      </c>
      <c r="X242" s="324">
        <v>0</v>
      </c>
      <c r="Y242" s="312">
        <v>90000</v>
      </c>
      <c r="Z242" s="325">
        <v>90000</v>
      </c>
      <c r="AA242" s="325">
        <v>0</v>
      </c>
      <c r="AB242" s="326"/>
      <c r="AC242" s="324">
        <v>65000</v>
      </c>
      <c r="AD242" s="324">
        <v>0</v>
      </c>
      <c r="AE242" s="324">
        <v>23000</v>
      </c>
      <c r="AF242" s="324">
        <v>0</v>
      </c>
      <c r="AG242" s="324">
        <v>2000</v>
      </c>
      <c r="AH242" s="324">
        <v>0</v>
      </c>
      <c r="AI242" s="312">
        <v>90000</v>
      </c>
      <c r="AJ242" s="327">
        <v>90000</v>
      </c>
      <c r="AK242" s="327">
        <v>0</v>
      </c>
      <c r="AL242" s="328"/>
      <c r="AM242" s="324">
        <v>0</v>
      </c>
      <c r="AN242" s="324">
        <v>0</v>
      </c>
      <c r="AO242" s="324">
        <v>0</v>
      </c>
      <c r="AP242" s="324">
        <v>0</v>
      </c>
      <c r="AQ242" s="324">
        <v>0</v>
      </c>
      <c r="AR242" s="324">
        <v>0</v>
      </c>
      <c r="AS242" s="293">
        <v>0</v>
      </c>
      <c r="AT242" s="327">
        <v>0</v>
      </c>
      <c r="AU242" s="327">
        <v>0</v>
      </c>
      <c r="AV242" s="328"/>
      <c r="AW242" s="279"/>
      <c r="AX242" s="279"/>
      <c r="AY242" s="279"/>
      <c r="AZ242" s="279"/>
      <c r="BA242" s="279"/>
      <c r="BB242" s="279"/>
      <c r="BC242" s="293"/>
      <c r="BD242" s="319"/>
      <c r="BE242" s="293"/>
      <c r="BF242" s="319"/>
      <c r="BG242" s="293"/>
      <c r="BH242" s="293"/>
      <c r="BI242" s="337">
        <v>180000</v>
      </c>
      <c r="BJ242" s="338">
        <v>0</v>
      </c>
      <c r="BK242" s="126"/>
    </row>
    <row r="243" spans="1:63" ht="15.75">
      <c r="A243" s="333">
        <v>504839</v>
      </c>
      <c r="B243" s="125" t="s">
        <v>1177</v>
      </c>
      <c r="C243" s="124" t="s">
        <v>66</v>
      </c>
      <c r="D243" s="126">
        <v>209210</v>
      </c>
      <c r="E243" s="148" t="s">
        <v>1178</v>
      </c>
      <c r="F243" s="148" t="s">
        <v>1179</v>
      </c>
      <c r="G243" s="172" t="s">
        <v>68</v>
      </c>
      <c r="H243" s="123" t="s">
        <v>597</v>
      </c>
      <c r="I243" s="126" t="s">
        <v>598</v>
      </c>
      <c r="J243" s="126" t="s">
        <v>888</v>
      </c>
      <c r="K243" s="128" t="s">
        <v>731</v>
      </c>
      <c r="L243" s="124" t="s">
        <v>518</v>
      </c>
      <c r="M243" s="143" t="s">
        <v>1146</v>
      </c>
      <c r="N243" s="129">
        <v>43070</v>
      </c>
      <c r="O243" s="129">
        <v>44803</v>
      </c>
      <c r="P243" s="129">
        <v>44803</v>
      </c>
      <c r="Q243" s="330">
        <v>1948000</v>
      </c>
      <c r="R243" s="331">
        <v>100000</v>
      </c>
      <c r="S243" s="324">
        <v>0</v>
      </c>
      <c r="T243" s="324">
        <v>200000</v>
      </c>
      <c r="U243" s="324">
        <v>0</v>
      </c>
      <c r="V243" s="324">
        <v>0</v>
      </c>
      <c r="W243" s="324">
        <v>0</v>
      </c>
      <c r="X243" s="324"/>
      <c r="Y243" s="312">
        <v>300000</v>
      </c>
      <c r="Z243" s="325">
        <v>300000</v>
      </c>
      <c r="AA243" s="325">
        <v>0</v>
      </c>
      <c r="AB243" s="326">
        <v>500000</v>
      </c>
      <c r="AC243" s="324">
        <v>0</v>
      </c>
      <c r="AD243" s="324">
        <v>350000</v>
      </c>
      <c r="AE243" s="324">
        <v>0</v>
      </c>
      <c r="AF243" s="324">
        <v>0</v>
      </c>
      <c r="AG243" s="324"/>
      <c r="AH243" s="324"/>
      <c r="AI243" s="312">
        <v>850000</v>
      </c>
      <c r="AJ243" s="327">
        <v>850000</v>
      </c>
      <c r="AK243" s="327">
        <v>0</v>
      </c>
      <c r="AL243" s="328">
        <v>500000</v>
      </c>
      <c r="AM243" s="279">
        <v>0</v>
      </c>
      <c r="AN243" s="279">
        <v>210760</v>
      </c>
      <c r="AO243" s="279">
        <v>0</v>
      </c>
      <c r="AP243" s="279"/>
      <c r="AQ243" s="279">
        <v>0</v>
      </c>
      <c r="AR243" s="279"/>
      <c r="AS243" s="293">
        <v>710760</v>
      </c>
      <c r="AT243" s="327">
        <v>710760</v>
      </c>
      <c r="AU243" s="327">
        <v>0</v>
      </c>
      <c r="AV243" s="279">
        <v>87240</v>
      </c>
      <c r="AW243" s="279"/>
      <c r="AX243" s="279"/>
      <c r="AY243" s="279"/>
      <c r="AZ243" s="279"/>
      <c r="BA243" s="279"/>
      <c r="BB243" s="279"/>
      <c r="BC243" s="293">
        <v>87240</v>
      </c>
      <c r="BD243" s="319"/>
      <c r="BE243" s="293"/>
      <c r="BF243" s="319"/>
      <c r="BG243" s="293"/>
      <c r="BH243" s="293"/>
      <c r="BI243" s="337">
        <v>1948000</v>
      </c>
      <c r="BJ243" s="338">
        <v>0</v>
      </c>
      <c r="BK243" s="280" t="s">
        <v>1180</v>
      </c>
    </row>
    <row r="244" spans="1:63" ht="15.75">
      <c r="A244" s="333">
        <v>504875</v>
      </c>
      <c r="B244" s="125" t="s">
        <v>1177</v>
      </c>
      <c r="C244" s="124" t="s">
        <v>66</v>
      </c>
      <c r="D244" s="126">
        <v>209210</v>
      </c>
      <c r="E244" s="148" t="s">
        <v>1178</v>
      </c>
      <c r="F244" s="148" t="s">
        <v>1179</v>
      </c>
      <c r="G244" s="172" t="s">
        <v>68</v>
      </c>
      <c r="H244" s="123" t="s">
        <v>597</v>
      </c>
      <c r="I244" s="126" t="s">
        <v>598</v>
      </c>
      <c r="J244" s="126" t="s">
        <v>888</v>
      </c>
      <c r="K244" s="128" t="s">
        <v>731</v>
      </c>
      <c r="L244" s="124" t="s">
        <v>518</v>
      </c>
      <c r="M244" s="143" t="s">
        <v>1146</v>
      </c>
      <c r="N244" s="129">
        <v>43070</v>
      </c>
      <c r="O244" s="129">
        <v>44803</v>
      </c>
      <c r="P244" s="129">
        <v>44803</v>
      </c>
      <c r="Q244" s="330">
        <v>462000</v>
      </c>
      <c r="R244" s="331"/>
      <c r="S244" s="324">
        <v>110000</v>
      </c>
      <c r="T244" s="324"/>
      <c r="U244" s="324">
        <v>0</v>
      </c>
      <c r="V244" s="324">
        <v>0</v>
      </c>
      <c r="W244" s="324">
        <v>0</v>
      </c>
      <c r="X244" s="324">
        <v>0</v>
      </c>
      <c r="Y244" s="312">
        <v>110000</v>
      </c>
      <c r="Z244" s="325">
        <v>110000</v>
      </c>
      <c r="AA244" s="325">
        <v>0</v>
      </c>
      <c r="AB244" s="326"/>
      <c r="AC244" s="324">
        <v>150000</v>
      </c>
      <c r="AD244" s="324">
        <v>0</v>
      </c>
      <c r="AE244" s="324">
        <v>0</v>
      </c>
      <c r="AF244" s="324">
        <v>0</v>
      </c>
      <c r="AG244" s="324">
        <v>0</v>
      </c>
      <c r="AH244" s="324"/>
      <c r="AI244" s="312">
        <v>150000</v>
      </c>
      <c r="AJ244" s="327">
        <v>150000</v>
      </c>
      <c r="AK244" s="327">
        <v>0</v>
      </c>
      <c r="AL244" s="328"/>
      <c r="AM244" s="279">
        <v>154500</v>
      </c>
      <c r="AN244" s="279">
        <v>0</v>
      </c>
      <c r="AO244" s="279">
        <v>0</v>
      </c>
      <c r="AP244" s="279"/>
      <c r="AQ244" s="279">
        <v>0</v>
      </c>
      <c r="AR244" s="279">
        <v>0</v>
      </c>
      <c r="AS244" s="293">
        <v>154500</v>
      </c>
      <c r="AT244" s="327">
        <v>154500</v>
      </c>
      <c r="AU244" s="327">
        <v>0</v>
      </c>
      <c r="AV244" s="328"/>
      <c r="AW244" s="279">
        <v>47500</v>
      </c>
      <c r="AX244" s="279"/>
      <c r="AY244" s="279"/>
      <c r="AZ244" s="279"/>
      <c r="BA244" s="279"/>
      <c r="BB244" s="279"/>
      <c r="BC244" s="293">
        <v>47500</v>
      </c>
      <c r="BD244" s="319"/>
      <c r="BE244" s="293"/>
      <c r="BF244" s="319"/>
      <c r="BG244" s="293"/>
      <c r="BH244" s="293"/>
      <c r="BI244" s="337">
        <v>462000</v>
      </c>
      <c r="BJ244" s="338">
        <v>0</v>
      </c>
      <c r="BK244" s="280" t="s">
        <v>623</v>
      </c>
    </row>
    <row r="245" spans="1:63" ht="15.75">
      <c r="A245" s="314">
        <v>507638</v>
      </c>
      <c r="B245" s="124" t="s">
        <v>1177</v>
      </c>
      <c r="C245" s="124" t="s">
        <v>66</v>
      </c>
      <c r="D245" s="126">
        <v>209210</v>
      </c>
      <c r="E245" s="124" t="s">
        <v>1181</v>
      </c>
      <c r="F245" s="124" t="s">
        <v>1179</v>
      </c>
      <c r="G245" s="127" t="s">
        <v>68</v>
      </c>
      <c r="H245" s="126" t="s">
        <v>628</v>
      </c>
      <c r="I245" s="126" t="s">
        <v>598</v>
      </c>
      <c r="J245" s="126" t="s">
        <v>888</v>
      </c>
      <c r="K245" s="128" t="s">
        <v>731</v>
      </c>
      <c r="L245" s="121" t="s">
        <v>519</v>
      </c>
      <c r="M245" s="123" t="s">
        <v>791</v>
      </c>
      <c r="N245" s="129">
        <v>43709</v>
      </c>
      <c r="O245" s="129">
        <v>44895</v>
      </c>
      <c r="P245" s="129">
        <v>44895</v>
      </c>
      <c r="Q245" s="323">
        <v>180000</v>
      </c>
      <c r="R245" s="319"/>
      <c r="S245" s="324">
        <v>29196</v>
      </c>
      <c r="T245" s="324">
        <v>7000</v>
      </c>
      <c r="U245" s="324">
        <v>21804</v>
      </c>
      <c r="V245" s="324"/>
      <c r="W245" s="324"/>
      <c r="X245" s="324"/>
      <c r="Y245" s="312">
        <v>58000</v>
      </c>
      <c r="Z245" s="325">
        <v>58000</v>
      </c>
      <c r="AA245" s="325">
        <v>0</v>
      </c>
      <c r="AB245" s="326"/>
      <c r="AC245" s="324">
        <v>29779</v>
      </c>
      <c r="AD245" s="324">
        <v>7000</v>
      </c>
      <c r="AE245" s="324">
        <v>25221</v>
      </c>
      <c r="AF245" s="324"/>
      <c r="AG245" s="324"/>
      <c r="AH245" s="324"/>
      <c r="AI245" s="312">
        <v>62000</v>
      </c>
      <c r="AJ245" s="327">
        <v>62000</v>
      </c>
      <c r="AK245" s="327">
        <v>0</v>
      </c>
      <c r="AL245" s="328"/>
      <c r="AM245" s="324">
        <v>30375</v>
      </c>
      <c r="AN245" s="324">
        <v>0</v>
      </c>
      <c r="AO245" s="324">
        <v>29625</v>
      </c>
      <c r="AP245" s="324">
        <v>0</v>
      </c>
      <c r="AQ245" s="324">
        <v>0</v>
      </c>
      <c r="AR245" s="324">
        <v>0</v>
      </c>
      <c r="AS245" s="293">
        <v>60000</v>
      </c>
      <c r="AT245" s="327">
        <v>60000</v>
      </c>
      <c r="AU245" s="327">
        <v>0</v>
      </c>
      <c r="AV245" s="328"/>
      <c r="AW245" s="279"/>
      <c r="AX245" s="279"/>
      <c r="AY245" s="279"/>
      <c r="AZ245" s="279"/>
      <c r="BA245" s="279"/>
      <c r="BB245" s="279"/>
      <c r="BC245" s="293"/>
      <c r="BD245" s="319"/>
      <c r="BE245" s="293"/>
      <c r="BF245" s="319"/>
      <c r="BG245" s="293"/>
      <c r="BH245" s="293"/>
      <c r="BI245" s="337">
        <v>180000</v>
      </c>
      <c r="BJ245" s="338">
        <v>0</v>
      </c>
      <c r="BK245" s="126"/>
    </row>
    <row r="246" spans="1:63" ht="15.75">
      <c r="A246" s="314">
        <v>512029</v>
      </c>
      <c r="B246" s="125" t="s">
        <v>1177</v>
      </c>
      <c r="C246" s="124" t="s">
        <v>66</v>
      </c>
      <c r="D246" s="126">
        <v>209210</v>
      </c>
      <c r="E246" s="148" t="s">
        <v>1181</v>
      </c>
      <c r="F246" s="148" t="s">
        <v>1179</v>
      </c>
      <c r="G246" s="172" t="s">
        <v>68</v>
      </c>
      <c r="H246" s="123" t="s">
        <v>628</v>
      </c>
      <c r="I246" s="126" t="s">
        <v>598</v>
      </c>
      <c r="J246" s="126" t="s">
        <v>888</v>
      </c>
      <c r="K246" s="128" t="s">
        <v>731</v>
      </c>
      <c r="L246" s="121" t="s">
        <v>5</v>
      </c>
      <c r="M246" s="123" t="s">
        <v>1057</v>
      </c>
      <c r="N246" s="129">
        <v>44287</v>
      </c>
      <c r="O246" s="129">
        <v>44651</v>
      </c>
      <c r="P246" s="129">
        <v>44651</v>
      </c>
      <c r="Q246" s="330">
        <v>40000</v>
      </c>
      <c r="R246" s="324"/>
      <c r="S246" s="324">
        <v>30000</v>
      </c>
      <c r="T246" s="324">
        <v>0</v>
      </c>
      <c r="U246" s="324">
        <v>10000</v>
      </c>
      <c r="V246" s="324">
        <v>0</v>
      </c>
      <c r="W246" s="324">
        <v>0</v>
      </c>
      <c r="X246" s="324">
        <v>0</v>
      </c>
      <c r="Y246" s="312">
        <v>40000</v>
      </c>
      <c r="Z246" s="325">
        <v>40000</v>
      </c>
      <c r="AA246" s="325">
        <v>0</v>
      </c>
      <c r="AB246" s="326"/>
      <c r="AC246" s="324">
        <v>30000</v>
      </c>
      <c r="AD246" s="324">
        <v>0</v>
      </c>
      <c r="AE246" s="324">
        <v>15000</v>
      </c>
      <c r="AF246" s="324">
        <v>0</v>
      </c>
      <c r="AG246" s="324">
        <v>0</v>
      </c>
      <c r="AH246" s="324">
        <v>0</v>
      </c>
      <c r="AI246" s="312">
        <v>45000</v>
      </c>
      <c r="AJ246" s="327">
        <v>45000</v>
      </c>
      <c r="AK246" s="327">
        <v>0</v>
      </c>
      <c r="AL246" s="328"/>
      <c r="AM246" s="324"/>
      <c r="AN246" s="324"/>
      <c r="AO246" s="324"/>
      <c r="AP246" s="324"/>
      <c r="AQ246" s="324"/>
      <c r="AR246" s="279"/>
      <c r="AS246" s="293"/>
      <c r="AT246" s="327"/>
      <c r="AU246" s="327"/>
      <c r="AV246" s="328"/>
      <c r="AW246" s="324"/>
      <c r="AX246" s="324"/>
      <c r="AY246" s="324"/>
      <c r="AZ246" s="324"/>
      <c r="BA246" s="324"/>
      <c r="BB246" s="324"/>
      <c r="BC246" s="293"/>
      <c r="BD246" s="319"/>
      <c r="BE246" s="293"/>
      <c r="BF246" s="319"/>
      <c r="BG246" s="293"/>
      <c r="BH246" s="293"/>
      <c r="BI246" s="337">
        <v>85000</v>
      </c>
      <c r="BJ246" s="338">
        <v>45000</v>
      </c>
      <c r="BK246" s="165"/>
    </row>
    <row r="247" spans="1:63" ht="15.75">
      <c r="A247" s="314">
        <v>504615</v>
      </c>
      <c r="B247" s="125" t="s">
        <v>1182</v>
      </c>
      <c r="C247" s="124" t="s">
        <v>1183</v>
      </c>
      <c r="D247" s="126">
        <v>209345</v>
      </c>
      <c r="E247" s="124" t="s">
        <v>1184</v>
      </c>
      <c r="F247" s="124" t="s">
        <v>1185</v>
      </c>
      <c r="G247" s="127" t="s">
        <v>68</v>
      </c>
      <c r="H247" s="126" t="s">
        <v>597</v>
      </c>
      <c r="I247" s="126" t="s">
        <v>598</v>
      </c>
      <c r="J247" s="126" t="s">
        <v>672</v>
      </c>
      <c r="K247" s="128" t="s">
        <v>673</v>
      </c>
      <c r="L247" s="121" t="s">
        <v>19</v>
      </c>
      <c r="M247" s="123" t="s">
        <v>1186</v>
      </c>
      <c r="N247" s="129">
        <v>43191</v>
      </c>
      <c r="O247" s="129">
        <v>43769</v>
      </c>
      <c r="P247" s="129">
        <v>43997</v>
      </c>
      <c r="Q247" s="323">
        <v>48894</v>
      </c>
      <c r="R247" s="319"/>
      <c r="S247" s="324">
        <v>28144</v>
      </c>
      <c r="T247" s="324">
        <v>0</v>
      </c>
      <c r="U247" s="324">
        <v>15000</v>
      </c>
      <c r="V247" s="324">
        <v>0</v>
      </c>
      <c r="W247" s="324">
        <v>5750</v>
      </c>
      <c r="X247" s="324">
        <v>0</v>
      </c>
      <c r="Y247" s="312">
        <v>48894</v>
      </c>
      <c r="Z247" s="325">
        <v>48894</v>
      </c>
      <c r="AA247" s="325">
        <v>0</v>
      </c>
      <c r="AB247" s="351"/>
      <c r="AC247" s="352">
        <v>0</v>
      </c>
      <c r="AD247" s="352">
        <v>0</v>
      </c>
      <c r="AE247" s="352">
        <v>0</v>
      </c>
      <c r="AF247" s="352">
        <v>0</v>
      </c>
      <c r="AG247" s="352">
        <v>0</v>
      </c>
      <c r="AH247" s="352"/>
      <c r="AI247" s="312">
        <v>0</v>
      </c>
      <c r="AJ247" s="327">
        <v>0</v>
      </c>
      <c r="AK247" s="327">
        <v>0</v>
      </c>
      <c r="AL247" s="339"/>
      <c r="AM247" s="324" t="s">
        <v>602</v>
      </c>
      <c r="AN247" s="324" t="s">
        <v>602</v>
      </c>
      <c r="AO247" s="324" t="s">
        <v>602</v>
      </c>
      <c r="AP247" s="324" t="s">
        <v>602</v>
      </c>
      <c r="AQ247" s="324" t="s">
        <v>602</v>
      </c>
      <c r="AR247" s="279"/>
      <c r="AS247" s="293"/>
      <c r="AT247" s="327">
        <v>0</v>
      </c>
      <c r="AU247" s="327">
        <v>0</v>
      </c>
      <c r="AV247" s="328"/>
      <c r="AW247" s="279"/>
      <c r="AX247" s="279"/>
      <c r="AY247" s="279"/>
      <c r="AZ247" s="279"/>
      <c r="BA247" s="279"/>
      <c r="BB247" s="279"/>
      <c r="BC247" s="293"/>
      <c r="BD247" s="319"/>
      <c r="BE247" s="293"/>
      <c r="BF247" s="319"/>
      <c r="BG247" s="293"/>
      <c r="BH247" s="293"/>
      <c r="BI247" s="337">
        <v>48894</v>
      </c>
      <c r="BJ247" s="338">
        <v>0</v>
      </c>
      <c r="BK247" s="126" t="s">
        <v>1187</v>
      </c>
    </row>
    <row r="248" spans="1:63" ht="15.75">
      <c r="A248" s="333">
        <v>505362</v>
      </c>
      <c r="B248" s="125" t="s">
        <v>1188</v>
      </c>
      <c r="C248" s="124" t="s">
        <v>130</v>
      </c>
      <c r="D248" s="126">
        <v>209346</v>
      </c>
      <c r="E248" s="148" t="s">
        <v>1189</v>
      </c>
      <c r="F248" s="148" t="s">
        <v>1190</v>
      </c>
      <c r="G248" s="127" t="s">
        <v>53</v>
      </c>
      <c r="H248" s="149" t="s">
        <v>597</v>
      </c>
      <c r="I248" s="126" t="s">
        <v>598</v>
      </c>
      <c r="J248" s="126" t="s">
        <v>635</v>
      </c>
      <c r="K248" s="128" t="s">
        <v>911</v>
      </c>
      <c r="L248" s="124" t="s">
        <v>518</v>
      </c>
      <c r="M248" s="143" t="s">
        <v>601</v>
      </c>
      <c r="N248" s="129">
        <v>43282</v>
      </c>
      <c r="O248" s="129">
        <v>44377</v>
      </c>
      <c r="P248" s="129">
        <v>44377</v>
      </c>
      <c r="Q248" s="330">
        <v>500000</v>
      </c>
      <c r="R248" s="324">
        <v>150000</v>
      </c>
      <c r="S248" s="324"/>
      <c r="T248" s="324"/>
      <c r="U248" s="324"/>
      <c r="V248" s="324">
        <v>0</v>
      </c>
      <c r="W248" s="324"/>
      <c r="X248" s="324"/>
      <c r="Y248" s="312">
        <v>150000</v>
      </c>
      <c r="Z248" s="325">
        <v>150000</v>
      </c>
      <c r="AA248" s="325">
        <v>0</v>
      </c>
      <c r="AB248" s="324">
        <v>150000</v>
      </c>
      <c r="AC248" s="324"/>
      <c r="AD248" s="324"/>
      <c r="AE248" s="324"/>
      <c r="AF248" s="324"/>
      <c r="AG248" s="324"/>
      <c r="AH248" s="324"/>
      <c r="AI248" s="312">
        <v>150000</v>
      </c>
      <c r="AJ248" s="327">
        <v>150000</v>
      </c>
      <c r="AK248" s="327">
        <v>0</v>
      </c>
      <c r="AL248" s="328">
        <v>150000</v>
      </c>
      <c r="AM248" s="324">
        <v>0</v>
      </c>
      <c r="AN248" s="324">
        <v>0</v>
      </c>
      <c r="AO248" s="324">
        <v>0</v>
      </c>
      <c r="AP248" s="324">
        <v>0</v>
      </c>
      <c r="AQ248" s="324">
        <v>0</v>
      </c>
      <c r="AR248" s="324">
        <v>0</v>
      </c>
      <c r="AS248" s="293">
        <v>150000</v>
      </c>
      <c r="AT248" s="327">
        <v>150000</v>
      </c>
      <c r="AU248" s="327">
        <v>0</v>
      </c>
      <c r="AV248" s="328">
        <v>50000</v>
      </c>
      <c r="AW248" s="279"/>
      <c r="AX248" s="279"/>
      <c r="AY248" s="279"/>
      <c r="AZ248" s="279"/>
      <c r="BA248" s="279"/>
      <c r="BB248" s="279"/>
      <c r="BC248" s="293">
        <v>50000</v>
      </c>
      <c r="BD248" s="319"/>
      <c r="BE248" s="293"/>
      <c r="BF248" s="319"/>
      <c r="BG248" s="293"/>
      <c r="BH248" s="293"/>
      <c r="BI248" s="337">
        <v>500000</v>
      </c>
      <c r="BJ248" s="338">
        <v>0</v>
      </c>
      <c r="BK248" s="280"/>
    </row>
    <row r="249" spans="1:63" ht="15.75">
      <c r="A249" s="314">
        <v>506473</v>
      </c>
      <c r="B249" s="125" t="s">
        <v>1188</v>
      </c>
      <c r="C249" s="124" t="s">
        <v>130</v>
      </c>
      <c r="D249" s="126">
        <v>209346</v>
      </c>
      <c r="E249" s="123" t="s">
        <v>1189</v>
      </c>
      <c r="F249" s="121" t="s">
        <v>1190</v>
      </c>
      <c r="G249" s="127" t="s">
        <v>53</v>
      </c>
      <c r="H249" s="149" t="s">
        <v>597</v>
      </c>
      <c r="I249" s="126" t="s">
        <v>598</v>
      </c>
      <c r="J249" s="126" t="s">
        <v>635</v>
      </c>
      <c r="K249" s="128" t="s">
        <v>911</v>
      </c>
      <c r="L249" s="121" t="s">
        <v>19</v>
      </c>
      <c r="M249" s="123" t="s">
        <v>1191</v>
      </c>
      <c r="N249" s="129">
        <v>43556</v>
      </c>
      <c r="O249" s="129">
        <v>43921</v>
      </c>
      <c r="P249" s="129">
        <v>43921</v>
      </c>
      <c r="Q249" s="330">
        <v>75000</v>
      </c>
      <c r="R249" s="331"/>
      <c r="S249" s="324">
        <v>0</v>
      </c>
      <c r="T249" s="324">
        <v>0</v>
      </c>
      <c r="U249" s="324">
        <v>44000</v>
      </c>
      <c r="V249" s="324">
        <v>0</v>
      </c>
      <c r="W249" s="324">
        <v>31000</v>
      </c>
      <c r="X249" s="324">
        <v>0</v>
      </c>
      <c r="Y249" s="312">
        <v>75000</v>
      </c>
      <c r="Z249" s="325">
        <v>75000</v>
      </c>
      <c r="AA249" s="325">
        <v>0</v>
      </c>
      <c r="AB249" s="326"/>
      <c r="AC249" s="324" t="s">
        <v>602</v>
      </c>
      <c r="AD249" s="324" t="s">
        <v>602</v>
      </c>
      <c r="AE249" s="324" t="s">
        <v>602</v>
      </c>
      <c r="AF249" s="324" t="s">
        <v>602</v>
      </c>
      <c r="AG249" s="324" t="s">
        <v>602</v>
      </c>
      <c r="AH249" s="283"/>
      <c r="AI249" s="312"/>
      <c r="AJ249" s="327">
        <v>0</v>
      </c>
      <c r="AK249" s="327">
        <v>0</v>
      </c>
      <c r="AL249" s="339"/>
      <c r="AM249" s="324">
        <v>0</v>
      </c>
      <c r="AN249" s="324">
        <v>0</v>
      </c>
      <c r="AO249" s="324">
        <v>0</v>
      </c>
      <c r="AP249" s="324">
        <v>0</v>
      </c>
      <c r="AQ249" s="324">
        <v>0</v>
      </c>
      <c r="AR249" s="324">
        <v>0</v>
      </c>
      <c r="AS249" s="293">
        <v>0</v>
      </c>
      <c r="AT249" s="327">
        <v>0</v>
      </c>
      <c r="AU249" s="327">
        <v>0</v>
      </c>
      <c r="AV249" s="121"/>
      <c r="AW249" s="153"/>
      <c r="AX249" s="153"/>
      <c r="AY249" s="153"/>
      <c r="AZ249" s="153"/>
      <c r="BA249" s="153"/>
      <c r="BB249" s="153"/>
      <c r="BC249" s="154"/>
      <c r="BD249" s="99"/>
      <c r="BE249" s="154"/>
      <c r="BF249" s="99"/>
      <c r="BG249" s="154"/>
      <c r="BH249" s="154"/>
      <c r="BI249" s="337">
        <v>75000</v>
      </c>
      <c r="BJ249" s="338">
        <v>0</v>
      </c>
      <c r="BK249" s="282"/>
    </row>
    <row r="250" spans="1:63" ht="15.75">
      <c r="A250" s="314">
        <v>507779</v>
      </c>
      <c r="B250" s="125" t="s">
        <v>1188</v>
      </c>
      <c r="C250" s="124" t="s">
        <v>130</v>
      </c>
      <c r="D250" s="126">
        <v>209346</v>
      </c>
      <c r="E250" s="123" t="s">
        <v>1189</v>
      </c>
      <c r="F250" s="121" t="s">
        <v>1190</v>
      </c>
      <c r="G250" s="127" t="s">
        <v>53</v>
      </c>
      <c r="H250" s="149" t="s">
        <v>628</v>
      </c>
      <c r="I250" s="126" t="s">
        <v>598</v>
      </c>
      <c r="J250" s="126" t="s">
        <v>635</v>
      </c>
      <c r="K250" s="128" t="s">
        <v>911</v>
      </c>
      <c r="L250" s="121" t="s">
        <v>519</v>
      </c>
      <c r="M250" s="123" t="s">
        <v>641</v>
      </c>
      <c r="N250" s="129">
        <v>43709</v>
      </c>
      <c r="O250" s="129">
        <v>44895</v>
      </c>
      <c r="P250" s="129">
        <v>44895</v>
      </c>
      <c r="Q250" s="323">
        <v>240000</v>
      </c>
      <c r="R250" s="319"/>
      <c r="S250" s="324">
        <v>43000</v>
      </c>
      <c r="T250" s="324">
        <v>0</v>
      </c>
      <c r="U250" s="324">
        <v>21000</v>
      </c>
      <c r="V250" s="324">
        <v>0</v>
      </c>
      <c r="W250" s="324">
        <v>16000</v>
      </c>
      <c r="X250" s="324">
        <v>0</v>
      </c>
      <c r="Y250" s="312">
        <v>80000</v>
      </c>
      <c r="Z250" s="325">
        <v>80000</v>
      </c>
      <c r="AA250" s="325">
        <v>0</v>
      </c>
      <c r="AB250" s="326"/>
      <c r="AC250" s="324">
        <v>43000</v>
      </c>
      <c r="AD250" s="324">
        <v>0</v>
      </c>
      <c r="AE250" s="324">
        <v>21000</v>
      </c>
      <c r="AF250" s="324">
        <v>0</v>
      </c>
      <c r="AG250" s="324">
        <v>16000</v>
      </c>
      <c r="AH250" s="324">
        <v>0</v>
      </c>
      <c r="AI250" s="312">
        <v>80000</v>
      </c>
      <c r="AJ250" s="327">
        <v>80000</v>
      </c>
      <c r="AK250" s="327">
        <v>0</v>
      </c>
      <c r="AL250" s="121"/>
      <c r="AM250" s="324">
        <v>43000</v>
      </c>
      <c r="AN250" s="324">
        <v>0</v>
      </c>
      <c r="AO250" s="324">
        <v>21000</v>
      </c>
      <c r="AP250" s="324">
        <v>0</v>
      </c>
      <c r="AQ250" s="324">
        <v>16000</v>
      </c>
      <c r="AR250" s="324">
        <v>0</v>
      </c>
      <c r="AS250" s="293">
        <v>80000</v>
      </c>
      <c r="AT250" s="327">
        <v>80000</v>
      </c>
      <c r="AU250" s="327">
        <v>0</v>
      </c>
      <c r="AV250" s="121"/>
      <c r="AW250" s="153"/>
      <c r="AX250" s="153"/>
      <c r="AY250" s="153"/>
      <c r="AZ250" s="153"/>
      <c r="BA250" s="153"/>
      <c r="BB250" s="153"/>
      <c r="BC250" s="154"/>
      <c r="BD250" s="99"/>
      <c r="BE250" s="154"/>
      <c r="BF250" s="99"/>
      <c r="BG250" s="154"/>
      <c r="BH250" s="154"/>
      <c r="BI250" s="337">
        <v>240000</v>
      </c>
      <c r="BJ250" s="338">
        <v>0</v>
      </c>
      <c r="BK250" s="282"/>
    </row>
    <row r="251" spans="1:63" ht="15.75">
      <c r="A251" s="314">
        <v>507158</v>
      </c>
      <c r="B251" s="125" t="s">
        <v>605</v>
      </c>
      <c r="C251" s="124" t="s">
        <v>606</v>
      </c>
      <c r="D251" s="126">
        <v>209400</v>
      </c>
      <c r="E251" s="121" t="s">
        <v>607</v>
      </c>
      <c r="F251" s="121" t="s">
        <v>608</v>
      </c>
      <c r="G251" s="127" t="s">
        <v>46</v>
      </c>
      <c r="H251" s="123" t="s">
        <v>597</v>
      </c>
      <c r="I251" s="126" t="s">
        <v>609</v>
      </c>
      <c r="J251" s="126" t="s">
        <v>610</v>
      </c>
      <c r="K251" s="128" t="s">
        <v>611</v>
      </c>
      <c r="L251" s="121" t="s">
        <v>518</v>
      </c>
      <c r="M251" s="123" t="s">
        <v>601</v>
      </c>
      <c r="N251" s="129">
        <v>43374</v>
      </c>
      <c r="O251" s="129">
        <v>43830</v>
      </c>
      <c r="P251" s="129">
        <v>43844</v>
      </c>
      <c r="Q251" s="330">
        <v>75600</v>
      </c>
      <c r="R251" s="324">
        <v>75600</v>
      </c>
      <c r="S251" s="324">
        <v>0</v>
      </c>
      <c r="T251" s="324">
        <v>0</v>
      </c>
      <c r="U251" s="324">
        <v>0</v>
      </c>
      <c r="V251" s="324">
        <v>0</v>
      </c>
      <c r="W251" s="324">
        <v>0</v>
      </c>
      <c r="X251" s="324">
        <v>0</v>
      </c>
      <c r="Y251" s="312">
        <v>75600</v>
      </c>
      <c r="Z251" s="325">
        <v>75600</v>
      </c>
      <c r="AA251" s="325">
        <v>0</v>
      </c>
      <c r="AB251" s="326"/>
      <c r="AC251" s="324" t="s">
        <v>602</v>
      </c>
      <c r="AD251" s="324" t="s">
        <v>602</v>
      </c>
      <c r="AE251" s="324" t="s">
        <v>602</v>
      </c>
      <c r="AF251" s="324" t="s">
        <v>602</v>
      </c>
      <c r="AG251" s="324" t="s">
        <v>602</v>
      </c>
      <c r="AH251" s="324"/>
      <c r="AI251" s="312">
        <v>0</v>
      </c>
      <c r="AJ251" s="327">
        <v>0</v>
      </c>
      <c r="AK251" s="327">
        <v>0</v>
      </c>
      <c r="AL251" s="328"/>
      <c r="AM251" s="324">
        <v>0</v>
      </c>
      <c r="AN251" s="324">
        <v>0</v>
      </c>
      <c r="AO251" s="324">
        <v>0</v>
      </c>
      <c r="AP251" s="324">
        <v>0</v>
      </c>
      <c r="AQ251" s="324">
        <v>0</v>
      </c>
      <c r="AR251" s="324">
        <v>0</v>
      </c>
      <c r="AS251" s="293">
        <v>0</v>
      </c>
      <c r="AT251" s="327">
        <v>0</v>
      </c>
      <c r="AU251" s="327">
        <v>0</v>
      </c>
      <c r="AV251" s="328"/>
      <c r="AW251" s="284"/>
      <c r="AX251" s="284"/>
      <c r="AY251" s="284"/>
      <c r="AZ251" s="284"/>
      <c r="BA251" s="284"/>
      <c r="BB251" s="284"/>
      <c r="BC251" s="293"/>
      <c r="BD251" s="319"/>
      <c r="BE251" s="293"/>
      <c r="BF251" s="319"/>
      <c r="BG251" s="293"/>
      <c r="BH251" s="293"/>
      <c r="BI251" s="337">
        <v>75600</v>
      </c>
      <c r="BJ251" s="338">
        <v>0</v>
      </c>
      <c r="BK251" s="280" t="s">
        <v>1192</v>
      </c>
    </row>
    <row r="252" spans="1:63" ht="15.75">
      <c r="A252" s="381">
        <v>509633</v>
      </c>
      <c r="B252" s="125" t="s">
        <v>605</v>
      </c>
      <c r="C252" s="163" t="s">
        <v>606</v>
      </c>
      <c r="D252" s="163">
        <v>209400</v>
      </c>
      <c r="E252" s="148" t="s">
        <v>607</v>
      </c>
      <c r="F252" s="148" t="s">
        <v>608</v>
      </c>
      <c r="G252" s="127" t="s">
        <v>46</v>
      </c>
      <c r="H252" s="164" t="s">
        <v>597</v>
      </c>
      <c r="I252" s="126" t="s">
        <v>609</v>
      </c>
      <c r="J252" s="149" t="s">
        <v>610</v>
      </c>
      <c r="K252" s="149" t="s">
        <v>611</v>
      </c>
      <c r="L252" s="121" t="s">
        <v>19</v>
      </c>
      <c r="M252" s="123" t="s">
        <v>1193</v>
      </c>
      <c r="N252" s="129">
        <v>44044</v>
      </c>
      <c r="O252" s="129">
        <v>44408</v>
      </c>
      <c r="P252" s="129">
        <v>44408</v>
      </c>
      <c r="Q252" s="330">
        <v>100000</v>
      </c>
      <c r="R252" s="319"/>
      <c r="S252" s="324">
        <v>56800</v>
      </c>
      <c r="T252" s="324"/>
      <c r="U252" s="324">
        <v>42430.42</v>
      </c>
      <c r="V252" s="324"/>
      <c r="W252" s="324">
        <v>769.58000000000175</v>
      </c>
      <c r="X252" s="324"/>
      <c r="Y252" s="312">
        <v>100000</v>
      </c>
      <c r="Z252" s="325">
        <v>100000</v>
      </c>
      <c r="AA252" s="325">
        <v>0</v>
      </c>
      <c r="AB252" s="326"/>
      <c r="AC252" s="324">
        <v>0</v>
      </c>
      <c r="AD252" s="324">
        <v>0</v>
      </c>
      <c r="AE252" s="324">
        <v>0</v>
      </c>
      <c r="AF252" s="324">
        <v>0</v>
      </c>
      <c r="AG252" s="324">
        <v>0</v>
      </c>
      <c r="AH252" s="324">
        <v>0</v>
      </c>
      <c r="AI252" s="312">
        <v>0</v>
      </c>
      <c r="AJ252" s="327">
        <v>0</v>
      </c>
      <c r="AK252" s="327">
        <v>0</v>
      </c>
      <c r="AL252" s="328"/>
      <c r="AM252" s="324">
        <v>0</v>
      </c>
      <c r="AN252" s="324">
        <v>0</v>
      </c>
      <c r="AO252" s="324">
        <v>0</v>
      </c>
      <c r="AP252" s="324">
        <v>0</v>
      </c>
      <c r="AQ252" s="324">
        <v>0</v>
      </c>
      <c r="AR252" s="324">
        <v>0</v>
      </c>
      <c r="AS252" s="293">
        <v>0</v>
      </c>
      <c r="AT252" s="327">
        <v>0</v>
      </c>
      <c r="AU252" s="327">
        <v>0</v>
      </c>
      <c r="AV252" s="328"/>
      <c r="AW252" s="279"/>
      <c r="AX252" s="279"/>
      <c r="AY252" s="279"/>
      <c r="AZ252" s="279"/>
      <c r="BA252" s="279"/>
      <c r="BB252" s="279"/>
      <c r="BC252" s="293"/>
      <c r="BD252" s="319"/>
      <c r="BE252" s="293"/>
      <c r="BF252" s="319"/>
      <c r="BG252" s="293"/>
      <c r="BH252" s="293"/>
      <c r="BI252" s="337">
        <v>100000</v>
      </c>
      <c r="BJ252" s="338">
        <v>0</v>
      </c>
      <c r="BK252" s="126" t="s">
        <v>1194</v>
      </c>
    </row>
    <row r="253" spans="1:63" ht="15.75">
      <c r="A253" s="314">
        <v>511440</v>
      </c>
      <c r="B253" s="125" t="s">
        <v>605</v>
      </c>
      <c r="C253" s="163" t="s">
        <v>606</v>
      </c>
      <c r="D253" s="163">
        <v>209400</v>
      </c>
      <c r="E253" s="148" t="s">
        <v>607</v>
      </c>
      <c r="F253" s="148" t="s">
        <v>608</v>
      </c>
      <c r="G253" s="127" t="s">
        <v>46</v>
      </c>
      <c r="H253" s="164" t="s">
        <v>628</v>
      </c>
      <c r="I253" s="126" t="s">
        <v>609</v>
      </c>
      <c r="J253" s="149" t="s">
        <v>610</v>
      </c>
      <c r="K253" s="149" t="s">
        <v>611</v>
      </c>
      <c r="L253" s="121" t="s">
        <v>521</v>
      </c>
      <c r="M253" s="123" t="s">
        <v>1110</v>
      </c>
      <c r="N253" s="129">
        <v>44075</v>
      </c>
      <c r="O253" s="129">
        <v>44804</v>
      </c>
      <c r="P253" s="129">
        <v>44804</v>
      </c>
      <c r="Q253" s="330">
        <v>25000</v>
      </c>
      <c r="R253" s="324"/>
      <c r="S253" s="324">
        <v>12500</v>
      </c>
      <c r="T253" s="324"/>
      <c r="U253" s="324"/>
      <c r="V253" s="324"/>
      <c r="W253" s="324"/>
      <c r="X253" s="324"/>
      <c r="Y253" s="312">
        <v>12500</v>
      </c>
      <c r="Z253" s="325">
        <v>12500</v>
      </c>
      <c r="AA253" s="325">
        <v>0</v>
      </c>
      <c r="AB253" s="326"/>
      <c r="AC253" s="324">
        <v>12500</v>
      </c>
      <c r="AD253" s="324"/>
      <c r="AE253" s="324"/>
      <c r="AF253" s="324"/>
      <c r="AG253" s="324"/>
      <c r="AH253" s="324"/>
      <c r="AI253" s="312">
        <v>12500</v>
      </c>
      <c r="AJ253" s="327">
        <v>12500</v>
      </c>
      <c r="AK253" s="327">
        <v>0</v>
      </c>
      <c r="AL253" s="328"/>
      <c r="AM253" s="324"/>
      <c r="AN253" s="324"/>
      <c r="AO253" s="324"/>
      <c r="AP253" s="324"/>
      <c r="AQ253" s="324"/>
      <c r="AR253" s="279"/>
      <c r="AS253" s="293">
        <v>0</v>
      </c>
      <c r="AT253" s="327">
        <v>0</v>
      </c>
      <c r="AU253" s="327">
        <v>0</v>
      </c>
      <c r="AV253" s="328"/>
      <c r="AW253" s="324"/>
      <c r="AX253" s="324"/>
      <c r="AY253" s="324"/>
      <c r="AZ253" s="324"/>
      <c r="BA253" s="324"/>
      <c r="BB253" s="324"/>
      <c r="BC253" s="293"/>
      <c r="BD253" s="319"/>
      <c r="BE253" s="293"/>
      <c r="BF253" s="319"/>
      <c r="BG253" s="293"/>
      <c r="BH253" s="293"/>
      <c r="BI253" s="337">
        <v>25000</v>
      </c>
      <c r="BJ253" s="338">
        <v>0</v>
      </c>
      <c r="BK253" s="165"/>
    </row>
    <row r="254" spans="1:63" ht="15.75">
      <c r="A254" s="314">
        <v>512029</v>
      </c>
      <c r="B254" s="340" t="s">
        <v>605</v>
      </c>
      <c r="C254" s="124" t="s">
        <v>606</v>
      </c>
      <c r="D254" s="163">
        <v>209400</v>
      </c>
      <c r="E254" s="148" t="s">
        <v>607</v>
      </c>
      <c r="F254" s="148" t="s">
        <v>608</v>
      </c>
      <c r="G254" s="127" t="s">
        <v>46</v>
      </c>
      <c r="H254" s="164" t="s">
        <v>597</v>
      </c>
      <c r="I254" s="126" t="s">
        <v>609</v>
      </c>
      <c r="J254" s="149" t="s">
        <v>610</v>
      </c>
      <c r="K254" s="149" t="s">
        <v>611</v>
      </c>
      <c r="L254" s="121" t="s">
        <v>5</v>
      </c>
      <c r="M254" s="123" t="s">
        <v>1057</v>
      </c>
      <c r="N254" s="129">
        <v>44287</v>
      </c>
      <c r="O254" s="129">
        <v>44651</v>
      </c>
      <c r="P254" s="129">
        <v>44651</v>
      </c>
      <c r="Q254" s="330">
        <v>164000</v>
      </c>
      <c r="R254" s="324"/>
      <c r="S254" s="324">
        <v>110000</v>
      </c>
      <c r="T254" s="324">
        <v>0</v>
      </c>
      <c r="U254" s="324">
        <v>27000</v>
      </c>
      <c r="V254" s="324">
        <v>0</v>
      </c>
      <c r="W254" s="324">
        <v>20000</v>
      </c>
      <c r="X254" s="324">
        <v>7000</v>
      </c>
      <c r="Y254" s="312">
        <v>164000</v>
      </c>
      <c r="Z254" s="325">
        <v>164000</v>
      </c>
      <c r="AA254" s="325">
        <v>0</v>
      </c>
      <c r="AB254" s="326"/>
      <c r="AC254" s="324">
        <v>110000</v>
      </c>
      <c r="AD254" s="324">
        <v>0</v>
      </c>
      <c r="AE254" s="324">
        <v>27000</v>
      </c>
      <c r="AF254" s="324">
        <v>0</v>
      </c>
      <c r="AG254" s="324">
        <v>20000</v>
      </c>
      <c r="AH254" s="324">
        <v>24000</v>
      </c>
      <c r="AI254" s="312">
        <v>181000</v>
      </c>
      <c r="AJ254" s="327">
        <v>181000</v>
      </c>
      <c r="AK254" s="327">
        <v>0</v>
      </c>
      <c r="AL254" s="328"/>
      <c r="AM254" s="324"/>
      <c r="AN254" s="324"/>
      <c r="AO254" s="324"/>
      <c r="AP254" s="324"/>
      <c r="AQ254" s="324"/>
      <c r="AR254" s="279"/>
      <c r="AS254" s="293"/>
      <c r="AT254" s="327"/>
      <c r="AU254" s="327"/>
      <c r="AV254" s="328"/>
      <c r="AW254" s="324"/>
      <c r="AX254" s="324"/>
      <c r="AY254" s="324"/>
      <c r="AZ254" s="324"/>
      <c r="BA254" s="324"/>
      <c r="BB254" s="324"/>
      <c r="BC254" s="293"/>
      <c r="BD254" s="319"/>
      <c r="BE254" s="293"/>
      <c r="BF254" s="319"/>
      <c r="BG254" s="293"/>
      <c r="BH254" s="293"/>
      <c r="BI254" s="337">
        <v>345000</v>
      </c>
      <c r="BJ254" s="338">
        <v>181000</v>
      </c>
      <c r="BK254" s="165"/>
    </row>
    <row r="255" spans="1:63" ht="15.75">
      <c r="A255" s="314">
        <v>512329</v>
      </c>
      <c r="B255" s="149" t="s">
        <v>605</v>
      </c>
      <c r="C255" s="149" t="s">
        <v>606</v>
      </c>
      <c r="D255" s="163">
        <v>209400</v>
      </c>
      <c r="E255" s="148" t="s">
        <v>607</v>
      </c>
      <c r="F255" s="149" t="s">
        <v>608</v>
      </c>
      <c r="G255" s="127" t="s">
        <v>46</v>
      </c>
      <c r="H255" s="149" t="s">
        <v>628</v>
      </c>
      <c r="I255" s="126" t="s">
        <v>609</v>
      </c>
      <c r="J255" s="149" t="s">
        <v>610</v>
      </c>
      <c r="K255" s="149" t="s">
        <v>611</v>
      </c>
      <c r="L255" s="121" t="s">
        <v>5</v>
      </c>
      <c r="M255" s="123" t="s">
        <v>706</v>
      </c>
      <c r="N255" s="129">
        <v>44287</v>
      </c>
      <c r="O255" s="129">
        <v>44651</v>
      </c>
      <c r="P255" s="129">
        <v>44651</v>
      </c>
      <c r="Q255" s="323">
        <v>45000</v>
      </c>
      <c r="R255" s="319"/>
      <c r="S255" s="324">
        <v>13000</v>
      </c>
      <c r="T255" s="324"/>
      <c r="U255" s="324">
        <v>25000</v>
      </c>
      <c r="V255" s="324"/>
      <c r="W255" s="324">
        <v>7000</v>
      </c>
      <c r="X255" s="324"/>
      <c r="Y255" s="312">
        <v>45000</v>
      </c>
      <c r="Z255" s="325">
        <v>45000</v>
      </c>
      <c r="AA255" s="325">
        <v>0</v>
      </c>
      <c r="AB255" s="326"/>
      <c r="AC255" s="324">
        <v>12000</v>
      </c>
      <c r="AD255" s="324"/>
      <c r="AE255" s="324">
        <v>23000</v>
      </c>
      <c r="AF255" s="324"/>
      <c r="AG255" s="324">
        <v>7000</v>
      </c>
      <c r="AH255" s="324"/>
      <c r="AI255" s="312">
        <v>42000</v>
      </c>
      <c r="AJ255" s="327">
        <v>42000</v>
      </c>
      <c r="AK255" s="327">
        <v>0</v>
      </c>
      <c r="AL255" s="328"/>
      <c r="AM255" s="324"/>
      <c r="AN255" s="324"/>
      <c r="AO255" s="324"/>
      <c r="AP255" s="324"/>
      <c r="AQ255" s="324"/>
      <c r="AR255" s="324"/>
      <c r="AS255" s="293"/>
      <c r="AT255" s="327"/>
      <c r="AU255" s="327"/>
      <c r="AV255" s="328"/>
      <c r="AW255" s="279"/>
      <c r="AX255" s="279"/>
      <c r="AY255" s="279"/>
      <c r="AZ255" s="279"/>
      <c r="BA255" s="279"/>
      <c r="BB255" s="279"/>
      <c r="BC255" s="293"/>
      <c r="BD255" s="319"/>
      <c r="BE255" s="293"/>
      <c r="BF255" s="319"/>
      <c r="BG255" s="293"/>
      <c r="BH255" s="293"/>
      <c r="BI255" s="337">
        <v>87000</v>
      </c>
      <c r="BJ255" s="338">
        <v>42000</v>
      </c>
      <c r="BK255" s="126"/>
    </row>
    <row r="256" spans="1:63" ht="15.75">
      <c r="A256" s="314">
        <v>505749</v>
      </c>
      <c r="B256" s="125" t="s">
        <v>1195</v>
      </c>
      <c r="C256" s="124" t="s">
        <v>62</v>
      </c>
      <c r="D256" s="126">
        <v>209403</v>
      </c>
      <c r="E256" s="124" t="s">
        <v>1196</v>
      </c>
      <c r="F256" s="124" t="s">
        <v>1197</v>
      </c>
      <c r="G256" s="127" t="s">
        <v>53</v>
      </c>
      <c r="H256" s="126" t="s">
        <v>597</v>
      </c>
      <c r="I256" s="126" t="s">
        <v>598</v>
      </c>
      <c r="J256" s="126" t="s">
        <v>888</v>
      </c>
      <c r="K256" s="128" t="s">
        <v>731</v>
      </c>
      <c r="L256" s="121" t="s">
        <v>518</v>
      </c>
      <c r="M256" s="123" t="s">
        <v>601</v>
      </c>
      <c r="N256" s="129">
        <v>43313</v>
      </c>
      <c r="O256" s="129">
        <v>44773</v>
      </c>
      <c r="P256" s="129">
        <v>44773</v>
      </c>
      <c r="Q256" s="323">
        <v>500000</v>
      </c>
      <c r="R256" s="319"/>
      <c r="S256" s="324"/>
      <c r="T256" s="324"/>
      <c r="U256" s="324"/>
      <c r="V256" s="324">
        <v>0</v>
      </c>
      <c r="W256" s="324"/>
      <c r="X256" s="324">
        <v>187500</v>
      </c>
      <c r="Y256" s="312">
        <v>187500</v>
      </c>
      <c r="Z256" s="325">
        <v>187500</v>
      </c>
      <c r="AA256" s="325">
        <v>0</v>
      </c>
      <c r="AB256" s="326"/>
      <c r="AC256" s="324">
        <v>0</v>
      </c>
      <c r="AD256" s="324">
        <v>0</v>
      </c>
      <c r="AE256" s="324">
        <v>0</v>
      </c>
      <c r="AF256" s="324">
        <v>0</v>
      </c>
      <c r="AG256" s="324">
        <v>250000</v>
      </c>
      <c r="AH256" s="324"/>
      <c r="AI256" s="312">
        <v>250000</v>
      </c>
      <c r="AJ256" s="327">
        <v>250000</v>
      </c>
      <c r="AK256" s="327">
        <v>0</v>
      </c>
      <c r="AL256" s="328"/>
      <c r="AM256" s="279">
        <v>0</v>
      </c>
      <c r="AN256" s="279">
        <v>0</v>
      </c>
      <c r="AO256" s="279">
        <v>0</v>
      </c>
      <c r="AP256" s="279"/>
      <c r="AQ256" s="279">
        <v>0</v>
      </c>
      <c r="AR256" s="279">
        <v>62500</v>
      </c>
      <c r="AS256" s="293">
        <v>62500</v>
      </c>
      <c r="AT256" s="327">
        <v>62500</v>
      </c>
      <c r="AU256" s="327">
        <v>0</v>
      </c>
      <c r="AV256" s="328"/>
      <c r="AW256" s="279"/>
      <c r="AX256" s="279"/>
      <c r="AY256" s="279"/>
      <c r="AZ256" s="279"/>
      <c r="BA256" s="279"/>
      <c r="BB256" s="279"/>
      <c r="BC256" s="293"/>
      <c r="BD256" s="319"/>
      <c r="BE256" s="293"/>
      <c r="BF256" s="319"/>
      <c r="BG256" s="293"/>
      <c r="BH256" s="293"/>
      <c r="BI256" s="337">
        <v>500000</v>
      </c>
      <c r="BJ256" s="338">
        <v>0</v>
      </c>
      <c r="BK256" s="126" t="s">
        <v>1198</v>
      </c>
    </row>
    <row r="257" spans="1:63" ht="15.75">
      <c r="A257" s="314">
        <v>512029</v>
      </c>
      <c r="B257" s="125" t="s">
        <v>1195</v>
      </c>
      <c r="C257" s="124" t="s">
        <v>62</v>
      </c>
      <c r="D257" s="126">
        <v>209403</v>
      </c>
      <c r="E257" s="148" t="s">
        <v>1196</v>
      </c>
      <c r="F257" s="148" t="s">
        <v>1197</v>
      </c>
      <c r="G257" s="127" t="s">
        <v>53</v>
      </c>
      <c r="H257" s="126" t="s">
        <v>628</v>
      </c>
      <c r="I257" s="126" t="s">
        <v>598</v>
      </c>
      <c r="J257" s="126" t="s">
        <v>888</v>
      </c>
      <c r="K257" s="128" t="s">
        <v>731</v>
      </c>
      <c r="L257" s="121" t="s">
        <v>5</v>
      </c>
      <c r="M257" s="123" t="s">
        <v>1057</v>
      </c>
      <c r="N257" s="129">
        <v>44287</v>
      </c>
      <c r="O257" s="129">
        <v>44651</v>
      </c>
      <c r="P257" s="129">
        <v>44651</v>
      </c>
      <c r="Q257" s="330">
        <v>125000</v>
      </c>
      <c r="R257" s="324"/>
      <c r="S257" s="324">
        <v>85000</v>
      </c>
      <c r="T257" s="324">
        <v>0</v>
      </c>
      <c r="U257" s="324">
        <v>10000</v>
      </c>
      <c r="V257" s="324">
        <v>0</v>
      </c>
      <c r="W257" s="324">
        <v>30000</v>
      </c>
      <c r="X257" s="324">
        <v>0</v>
      </c>
      <c r="Y257" s="312">
        <v>125000</v>
      </c>
      <c r="Z257" s="325">
        <v>125000</v>
      </c>
      <c r="AA257" s="325">
        <v>0</v>
      </c>
      <c r="AB257" s="326"/>
      <c r="AC257" s="324">
        <v>85000</v>
      </c>
      <c r="AD257" s="324">
        <v>0</v>
      </c>
      <c r="AE257" s="324">
        <v>15000</v>
      </c>
      <c r="AF257" s="324">
        <v>0</v>
      </c>
      <c r="AG257" s="324">
        <v>0</v>
      </c>
      <c r="AH257" s="324">
        <v>0</v>
      </c>
      <c r="AI257" s="312">
        <v>100000</v>
      </c>
      <c r="AJ257" s="327">
        <v>100000</v>
      </c>
      <c r="AK257" s="327">
        <v>0</v>
      </c>
      <c r="AL257" s="328"/>
      <c r="AM257" s="324"/>
      <c r="AN257" s="324"/>
      <c r="AO257" s="324"/>
      <c r="AP257" s="324"/>
      <c r="AQ257" s="324"/>
      <c r="AR257" s="279"/>
      <c r="AS257" s="293"/>
      <c r="AT257" s="327"/>
      <c r="AU257" s="327"/>
      <c r="AV257" s="328"/>
      <c r="AW257" s="324"/>
      <c r="AX257" s="324"/>
      <c r="AY257" s="324"/>
      <c r="AZ257" s="324"/>
      <c r="BA257" s="324"/>
      <c r="BB257" s="324"/>
      <c r="BC257" s="293"/>
      <c r="BD257" s="319"/>
      <c r="BE257" s="293"/>
      <c r="BF257" s="319"/>
      <c r="BG257" s="293"/>
      <c r="BH257" s="293"/>
      <c r="BI257" s="337">
        <v>225000</v>
      </c>
      <c r="BJ257" s="338">
        <v>100000</v>
      </c>
      <c r="BK257" s="165"/>
    </row>
    <row r="258" spans="1:63" ht="15.75">
      <c r="A258" s="314">
        <v>506456</v>
      </c>
      <c r="B258" s="125" t="s">
        <v>613</v>
      </c>
      <c r="C258" s="124" t="s">
        <v>86</v>
      </c>
      <c r="D258" s="126">
        <v>209438</v>
      </c>
      <c r="E258" s="148" t="s">
        <v>614</v>
      </c>
      <c r="F258" s="148" t="s">
        <v>615</v>
      </c>
      <c r="G258" s="127" t="s">
        <v>46</v>
      </c>
      <c r="H258" s="126" t="s">
        <v>597</v>
      </c>
      <c r="I258" s="126" t="s">
        <v>609</v>
      </c>
      <c r="J258" s="126" t="s">
        <v>610</v>
      </c>
      <c r="K258" s="128" t="s">
        <v>611</v>
      </c>
      <c r="L258" s="121" t="s">
        <v>19</v>
      </c>
      <c r="M258" s="126" t="s">
        <v>921</v>
      </c>
      <c r="N258" s="129">
        <v>43556</v>
      </c>
      <c r="O258" s="129">
        <v>44742</v>
      </c>
      <c r="P258" s="129">
        <v>44742</v>
      </c>
      <c r="Q258" s="330">
        <v>100000</v>
      </c>
      <c r="R258" s="331"/>
      <c r="S258" s="347">
        <v>27000</v>
      </c>
      <c r="T258" s="324">
        <v>0</v>
      </c>
      <c r="U258" s="324">
        <v>10000</v>
      </c>
      <c r="V258" s="324">
        <v>0</v>
      </c>
      <c r="W258" s="324">
        <v>4000</v>
      </c>
      <c r="X258" s="324">
        <v>9000</v>
      </c>
      <c r="Y258" s="312">
        <v>50000</v>
      </c>
      <c r="Z258" s="325">
        <v>50000</v>
      </c>
      <c r="AA258" s="325">
        <v>0</v>
      </c>
      <c r="AB258" s="326"/>
      <c r="AC258" s="347">
        <v>27000</v>
      </c>
      <c r="AD258" s="324">
        <v>0</v>
      </c>
      <c r="AE258" s="324">
        <v>10000</v>
      </c>
      <c r="AF258" s="324">
        <v>0</v>
      </c>
      <c r="AG258" s="324">
        <v>4000</v>
      </c>
      <c r="AH258" s="324">
        <v>9000</v>
      </c>
      <c r="AI258" s="312">
        <v>50000</v>
      </c>
      <c r="AJ258" s="327">
        <v>50000</v>
      </c>
      <c r="AK258" s="327">
        <v>0</v>
      </c>
      <c r="AL258" s="339"/>
      <c r="AM258" s="324">
        <v>0</v>
      </c>
      <c r="AN258" s="324">
        <v>0</v>
      </c>
      <c r="AO258" s="324">
        <v>0</v>
      </c>
      <c r="AP258" s="324">
        <v>0</v>
      </c>
      <c r="AQ258" s="324">
        <v>0</v>
      </c>
      <c r="AR258" s="324">
        <v>0</v>
      </c>
      <c r="AS258" s="293">
        <v>0</v>
      </c>
      <c r="AT258" s="327">
        <v>0</v>
      </c>
      <c r="AU258" s="327">
        <v>0</v>
      </c>
      <c r="AV258" s="121"/>
      <c r="AW258" s="153"/>
      <c r="AX258" s="153"/>
      <c r="AY258" s="153"/>
      <c r="AZ258" s="153"/>
      <c r="BA258" s="153"/>
      <c r="BB258" s="153"/>
      <c r="BC258" s="154"/>
      <c r="BD258" s="99"/>
      <c r="BE258" s="154"/>
      <c r="BF258" s="99"/>
      <c r="BG258" s="154"/>
      <c r="BH258" s="154"/>
      <c r="BI258" s="337">
        <v>100000</v>
      </c>
      <c r="BJ258" s="338">
        <v>0</v>
      </c>
      <c r="BK258" s="282" t="s">
        <v>922</v>
      </c>
    </row>
    <row r="259" spans="1:63" ht="15.75">
      <c r="A259" s="314">
        <v>507036</v>
      </c>
      <c r="B259" s="125" t="s">
        <v>613</v>
      </c>
      <c r="C259" s="124" t="s">
        <v>86</v>
      </c>
      <c r="D259" s="126">
        <v>209438</v>
      </c>
      <c r="E259" s="148" t="s">
        <v>614</v>
      </c>
      <c r="F259" s="148" t="s">
        <v>615</v>
      </c>
      <c r="G259" s="127" t="s">
        <v>46</v>
      </c>
      <c r="H259" s="149" t="s">
        <v>597</v>
      </c>
      <c r="I259" s="126" t="s">
        <v>609</v>
      </c>
      <c r="J259" s="126" t="s">
        <v>610</v>
      </c>
      <c r="K259" s="128" t="s">
        <v>611</v>
      </c>
      <c r="L259" s="124" t="s">
        <v>518</v>
      </c>
      <c r="M259" s="143" t="s">
        <v>616</v>
      </c>
      <c r="N259" s="129">
        <v>43466</v>
      </c>
      <c r="O259" s="129">
        <v>44286</v>
      </c>
      <c r="P259" s="129">
        <v>44287</v>
      </c>
      <c r="Q259" s="330">
        <v>125200</v>
      </c>
      <c r="R259" s="331"/>
      <c r="S259" s="350"/>
      <c r="T259" s="324"/>
      <c r="U259" s="324"/>
      <c r="V259" s="324">
        <v>0</v>
      </c>
      <c r="W259" s="324"/>
      <c r="X259" s="324">
        <v>125200</v>
      </c>
      <c r="Y259" s="312">
        <v>125200</v>
      </c>
      <c r="Z259" s="325">
        <v>125200</v>
      </c>
      <c r="AA259" s="325">
        <v>0</v>
      </c>
      <c r="AB259" s="326"/>
      <c r="AC259" s="347"/>
      <c r="AD259" s="324"/>
      <c r="AE259" s="324"/>
      <c r="AF259" s="324"/>
      <c r="AG259" s="324"/>
      <c r="AH259" s="324"/>
      <c r="AI259" s="312"/>
      <c r="AJ259" s="327">
        <v>0</v>
      </c>
      <c r="AK259" s="327">
        <v>0</v>
      </c>
      <c r="AL259" s="328"/>
      <c r="AM259" s="324">
        <v>0</v>
      </c>
      <c r="AN259" s="324">
        <v>0</v>
      </c>
      <c r="AO259" s="324">
        <v>0</v>
      </c>
      <c r="AP259" s="324">
        <v>0</v>
      </c>
      <c r="AQ259" s="324">
        <v>0</v>
      </c>
      <c r="AR259" s="324">
        <v>0</v>
      </c>
      <c r="AS259" s="293">
        <v>0</v>
      </c>
      <c r="AT259" s="327">
        <v>0</v>
      </c>
      <c r="AU259" s="327">
        <v>0</v>
      </c>
      <c r="AV259" s="328"/>
      <c r="AW259" s="279"/>
      <c r="AX259" s="279"/>
      <c r="AY259" s="279"/>
      <c r="AZ259" s="279"/>
      <c r="BA259" s="279"/>
      <c r="BB259" s="279"/>
      <c r="BC259" s="293"/>
      <c r="BD259" s="319"/>
      <c r="BE259" s="293"/>
      <c r="BF259" s="319"/>
      <c r="BG259" s="293"/>
      <c r="BH259" s="293"/>
      <c r="BI259" s="337">
        <v>125200</v>
      </c>
      <c r="BJ259" s="338">
        <v>0</v>
      </c>
      <c r="BK259" s="280" t="s">
        <v>1199</v>
      </c>
    </row>
    <row r="260" spans="1:63" ht="16.5">
      <c r="A260" s="314">
        <v>509666</v>
      </c>
      <c r="B260" s="182" t="s">
        <v>613</v>
      </c>
      <c r="C260" s="124" t="s">
        <v>86</v>
      </c>
      <c r="D260" s="126">
        <v>209438</v>
      </c>
      <c r="E260" s="148" t="s">
        <v>614</v>
      </c>
      <c r="F260" s="148" t="s">
        <v>615</v>
      </c>
      <c r="G260" s="127" t="s">
        <v>46</v>
      </c>
      <c r="H260" s="149" t="s">
        <v>597</v>
      </c>
      <c r="I260" s="126" t="s">
        <v>609</v>
      </c>
      <c r="J260" s="149" t="s">
        <v>610</v>
      </c>
      <c r="K260" s="149" t="s">
        <v>611</v>
      </c>
      <c r="L260" s="121" t="s">
        <v>19</v>
      </c>
      <c r="M260" s="123" t="s">
        <v>1018</v>
      </c>
      <c r="N260" s="129">
        <v>44044</v>
      </c>
      <c r="O260" s="129">
        <v>44773</v>
      </c>
      <c r="P260" s="129">
        <v>44773</v>
      </c>
      <c r="Q260" s="330">
        <v>90000</v>
      </c>
      <c r="R260" s="319"/>
      <c r="S260" s="324">
        <v>30000</v>
      </c>
      <c r="T260" s="324"/>
      <c r="U260" s="324">
        <v>14000</v>
      </c>
      <c r="V260" s="324">
        <v>0</v>
      </c>
      <c r="W260" s="324">
        <v>0</v>
      </c>
      <c r="X260" s="324">
        <v>0</v>
      </c>
      <c r="Y260" s="312">
        <v>44000</v>
      </c>
      <c r="Z260" s="325">
        <v>44000</v>
      </c>
      <c r="AA260" s="325">
        <v>0</v>
      </c>
      <c r="AB260" s="326"/>
      <c r="AC260" s="324">
        <v>30000</v>
      </c>
      <c r="AD260" s="324"/>
      <c r="AE260" s="324">
        <v>16000</v>
      </c>
      <c r="AF260" s="324">
        <v>0</v>
      </c>
      <c r="AG260" s="324">
        <v>0</v>
      </c>
      <c r="AH260" s="324">
        <v>0</v>
      </c>
      <c r="AI260" s="312">
        <v>46000</v>
      </c>
      <c r="AJ260" s="327">
        <v>46000</v>
      </c>
      <c r="AK260" s="327">
        <v>0</v>
      </c>
      <c r="AL260" s="328"/>
      <c r="AM260" s="324">
        <v>0</v>
      </c>
      <c r="AN260" s="324">
        <v>0</v>
      </c>
      <c r="AO260" s="324">
        <v>0</v>
      </c>
      <c r="AP260" s="324">
        <v>0</v>
      </c>
      <c r="AQ260" s="324">
        <v>0</v>
      </c>
      <c r="AR260" s="324">
        <v>0</v>
      </c>
      <c r="AS260" s="293">
        <v>0</v>
      </c>
      <c r="AT260" s="327">
        <v>0</v>
      </c>
      <c r="AU260" s="327">
        <v>0</v>
      </c>
      <c r="AV260" s="328"/>
      <c r="AW260" s="279"/>
      <c r="AX260" s="279"/>
      <c r="AY260" s="279"/>
      <c r="AZ260" s="279"/>
      <c r="BA260" s="279"/>
      <c r="BB260" s="279"/>
      <c r="BC260" s="293"/>
      <c r="BD260" s="319"/>
      <c r="BE260" s="293"/>
      <c r="BF260" s="319"/>
      <c r="BG260" s="293"/>
      <c r="BH260" s="293"/>
      <c r="BI260" s="337">
        <v>90000</v>
      </c>
      <c r="BJ260" s="338">
        <v>0</v>
      </c>
      <c r="BK260" s="126"/>
    </row>
    <row r="261" spans="1:63" ht="15.75">
      <c r="A261" s="314">
        <v>512338</v>
      </c>
      <c r="B261" s="149" t="s">
        <v>613</v>
      </c>
      <c r="C261" s="149" t="s">
        <v>86</v>
      </c>
      <c r="D261" s="126">
        <v>209438</v>
      </c>
      <c r="E261" s="148" t="s">
        <v>614</v>
      </c>
      <c r="F261" s="149" t="s">
        <v>615</v>
      </c>
      <c r="G261" s="127" t="s">
        <v>46</v>
      </c>
      <c r="H261" s="149" t="s">
        <v>628</v>
      </c>
      <c r="I261" s="126" t="s">
        <v>609</v>
      </c>
      <c r="J261" s="149" t="s">
        <v>610</v>
      </c>
      <c r="K261" s="149" t="s">
        <v>611</v>
      </c>
      <c r="L261" s="121" t="s">
        <v>5</v>
      </c>
      <c r="M261" s="123" t="s">
        <v>1004</v>
      </c>
      <c r="N261" s="129">
        <v>44287</v>
      </c>
      <c r="O261" s="129">
        <v>44651</v>
      </c>
      <c r="P261" s="129">
        <v>44651</v>
      </c>
      <c r="Q261" s="323">
        <v>67000</v>
      </c>
      <c r="R261" s="319"/>
      <c r="S261" s="324">
        <v>43000</v>
      </c>
      <c r="T261" s="324">
        <v>4000</v>
      </c>
      <c r="U261" s="324">
        <v>18000</v>
      </c>
      <c r="V261" s="324">
        <v>0</v>
      </c>
      <c r="W261" s="324">
        <v>2000</v>
      </c>
      <c r="X261" s="324">
        <v>0</v>
      </c>
      <c r="Y261" s="312">
        <v>67000</v>
      </c>
      <c r="Z261" s="325">
        <v>67000</v>
      </c>
      <c r="AA261" s="325">
        <v>0</v>
      </c>
      <c r="AB261" s="326"/>
      <c r="AC261" s="324">
        <v>43000</v>
      </c>
      <c r="AD261" s="324">
        <v>0</v>
      </c>
      <c r="AE261" s="324">
        <v>18000</v>
      </c>
      <c r="AF261" s="324">
        <v>0</v>
      </c>
      <c r="AG261" s="324">
        <v>2000</v>
      </c>
      <c r="AH261" s="324">
        <v>0</v>
      </c>
      <c r="AI261" s="312">
        <v>63000</v>
      </c>
      <c r="AJ261" s="327">
        <v>63000</v>
      </c>
      <c r="AK261" s="327">
        <v>0</v>
      </c>
      <c r="AL261" s="328"/>
      <c r="AM261" s="279"/>
      <c r="AN261" s="279"/>
      <c r="AO261" s="279"/>
      <c r="AP261" s="279"/>
      <c r="AQ261" s="279"/>
      <c r="AR261" s="279"/>
      <c r="AS261" s="293"/>
      <c r="AT261" s="327"/>
      <c r="AU261" s="327"/>
      <c r="AV261" s="328"/>
      <c r="AW261" s="279"/>
      <c r="AX261" s="279"/>
      <c r="AY261" s="279"/>
      <c r="AZ261" s="279"/>
      <c r="BA261" s="279"/>
      <c r="BB261" s="279"/>
      <c r="BC261" s="293"/>
      <c r="BD261" s="319"/>
      <c r="BE261" s="293"/>
      <c r="BF261" s="319"/>
      <c r="BG261" s="293"/>
      <c r="BH261" s="293"/>
      <c r="BI261" s="337">
        <v>130000</v>
      </c>
      <c r="BJ261" s="338">
        <v>63000</v>
      </c>
      <c r="BK261" s="126"/>
    </row>
    <row r="262" spans="1:63" ht="15.75">
      <c r="A262" s="314">
        <v>506485</v>
      </c>
      <c r="B262" s="125" t="s">
        <v>1200</v>
      </c>
      <c r="C262" s="124" t="s">
        <v>1201</v>
      </c>
      <c r="D262" s="126">
        <v>209461</v>
      </c>
      <c r="E262" s="148" t="s">
        <v>1202</v>
      </c>
      <c r="F262" s="148" t="s">
        <v>1203</v>
      </c>
      <c r="G262" s="127" t="s">
        <v>53</v>
      </c>
      <c r="H262" s="149" t="s">
        <v>597</v>
      </c>
      <c r="I262" s="126" t="s">
        <v>598</v>
      </c>
      <c r="J262" s="126" t="s">
        <v>683</v>
      </c>
      <c r="K262" s="128" t="s">
        <v>684</v>
      </c>
      <c r="L262" s="124" t="s">
        <v>521</v>
      </c>
      <c r="M262" s="143" t="s">
        <v>827</v>
      </c>
      <c r="N262" s="129">
        <v>43466</v>
      </c>
      <c r="O262" s="129">
        <v>44347</v>
      </c>
      <c r="P262" s="129">
        <v>44347</v>
      </c>
      <c r="Q262" s="330">
        <v>30000</v>
      </c>
      <c r="R262" s="331"/>
      <c r="S262" s="347">
        <v>0</v>
      </c>
      <c r="T262" s="324">
        <v>15000</v>
      </c>
      <c r="U262" s="324">
        <v>0</v>
      </c>
      <c r="V262" s="324">
        <v>0</v>
      </c>
      <c r="W262" s="324">
        <v>0</v>
      </c>
      <c r="X262" s="324">
        <v>0</v>
      </c>
      <c r="Y262" s="312">
        <v>15000</v>
      </c>
      <c r="Z262" s="325">
        <v>15000</v>
      </c>
      <c r="AA262" s="325">
        <v>0</v>
      </c>
      <c r="AB262" s="326"/>
      <c r="AC262" s="347">
        <v>15000</v>
      </c>
      <c r="AD262" s="324">
        <v>0</v>
      </c>
      <c r="AE262" s="324">
        <v>0</v>
      </c>
      <c r="AF262" s="324">
        <v>0</v>
      </c>
      <c r="AG262" s="324">
        <v>0</v>
      </c>
      <c r="AH262" s="324"/>
      <c r="AI262" s="312">
        <v>15000</v>
      </c>
      <c r="AJ262" s="327">
        <v>15000</v>
      </c>
      <c r="AK262" s="327">
        <v>0</v>
      </c>
      <c r="AL262" s="328"/>
      <c r="AM262" s="324">
        <v>0</v>
      </c>
      <c r="AN262" s="324">
        <v>0</v>
      </c>
      <c r="AO262" s="324">
        <v>0</v>
      </c>
      <c r="AP262" s="324">
        <v>0</v>
      </c>
      <c r="AQ262" s="324">
        <v>0</v>
      </c>
      <c r="AR262" s="324">
        <v>0</v>
      </c>
      <c r="AS262" s="293">
        <v>0</v>
      </c>
      <c r="AT262" s="327">
        <v>0</v>
      </c>
      <c r="AU262" s="327">
        <v>0</v>
      </c>
      <c r="AV262" s="328"/>
      <c r="AW262" s="279"/>
      <c r="AX262" s="279"/>
      <c r="AY262" s="279"/>
      <c r="AZ262" s="279"/>
      <c r="BA262" s="279"/>
      <c r="BB262" s="279"/>
      <c r="BC262" s="293"/>
      <c r="BD262" s="319"/>
      <c r="BE262" s="293"/>
      <c r="BF262" s="319"/>
      <c r="BG262" s="293"/>
      <c r="BH262" s="293"/>
      <c r="BI262" s="337">
        <v>30000</v>
      </c>
      <c r="BJ262" s="338">
        <v>0</v>
      </c>
      <c r="BK262" s="280" t="s">
        <v>828</v>
      </c>
    </row>
    <row r="263" spans="1:63" ht="15.75">
      <c r="A263" s="314">
        <v>507776</v>
      </c>
      <c r="B263" s="332" t="s">
        <v>1204</v>
      </c>
      <c r="C263" s="124" t="s">
        <v>299</v>
      </c>
      <c r="D263" s="126">
        <v>209476</v>
      </c>
      <c r="E263" s="124" t="s">
        <v>1205</v>
      </c>
      <c r="F263" s="124" t="s">
        <v>671</v>
      </c>
      <c r="G263" s="127" t="s">
        <v>46</v>
      </c>
      <c r="H263" s="126" t="s">
        <v>628</v>
      </c>
      <c r="I263" s="126" t="s">
        <v>598</v>
      </c>
      <c r="J263" s="126" t="s">
        <v>888</v>
      </c>
      <c r="K263" s="128" t="s">
        <v>731</v>
      </c>
      <c r="L263" s="121" t="s">
        <v>519</v>
      </c>
      <c r="M263" s="123" t="s">
        <v>1080</v>
      </c>
      <c r="N263" s="129">
        <v>43709</v>
      </c>
      <c r="O263" s="129">
        <v>44895</v>
      </c>
      <c r="P263" s="129">
        <v>44895</v>
      </c>
      <c r="Q263" s="323">
        <v>210000</v>
      </c>
      <c r="R263" s="319"/>
      <c r="S263" s="324">
        <v>27958</v>
      </c>
      <c r="T263" s="324">
        <v>0</v>
      </c>
      <c r="U263" s="324">
        <v>42042</v>
      </c>
      <c r="V263" s="324">
        <v>0</v>
      </c>
      <c r="W263" s="324"/>
      <c r="X263" s="324"/>
      <c r="Y263" s="312">
        <v>70000</v>
      </c>
      <c r="Z263" s="325">
        <v>70000</v>
      </c>
      <c r="AA263" s="325">
        <v>0</v>
      </c>
      <c r="AB263" s="326"/>
      <c r="AC263" s="324">
        <v>27958</v>
      </c>
      <c r="AD263" s="324">
        <v>0</v>
      </c>
      <c r="AE263" s="324">
        <v>42042</v>
      </c>
      <c r="AF263" s="324">
        <v>0</v>
      </c>
      <c r="AG263" s="324">
        <v>0</v>
      </c>
      <c r="AH263" s="324">
        <v>0</v>
      </c>
      <c r="AI263" s="312">
        <v>70000</v>
      </c>
      <c r="AJ263" s="327">
        <v>70000</v>
      </c>
      <c r="AK263" s="327">
        <v>0</v>
      </c>
      <c r="AL263" s="328"/>
      <c r="AM263" s="324">
        <v>27959</v>
      </c>
      <c r="AN263" s="324">
        <v>0</v>
      </c>
      <c r="AO263" s="324">
        <v>42041</v>
      </c>
      <c r="AP263" s="324">
        <v>0</v>
      </c>
      <c r="AQ263" s="324"/>
      <c r="AR263" s="324"/>
      <c r="AS263" s="293">
        <v>70000</v>
      </c>
      <c r="AT263" s="327">
        <v>70000</v>
      </c>
      <c r="AU263" s="327">
        <v>0</v>
      </c>
      <c r="AV263" s="328"/>
      <c r="AW263" s="279"/>
      <c r="AX263" s="279"/>
      <c r="AY263" s="279"/>
      <c r="AZ263" s="279"/>
      <c r="BA263" s="279"/>
      <c r="BB263" s="279"/>
      <c r="BC263" s="293"/>
      <c r="BD263" s="319"/>
      <c r="BE263" s="293"/>
      <c r="BF263" s="319"/>
      <c r="BG263" s="293"/>
      <c r="BH263" s="293"/>
      <c r="BI263" s="337">
        <v>210000</v>
      </c>
      <c r="BJ263" s="338">
        <v>0</v>
      </c>
      <c r="BK263" s="126"/>
    </row>
    <row r="264" spans="1:63" ht="15.75">
      <c r="A264" s="314">
        <v>507637</v>
      </c>
      <c r="B264" s="125" t="s">
        <v>1206</v>
      </c>
      <c r="C264" s="124" t="s">
        <v>1207</v>
      </c>
      <c r="D264" s="126">
        <v>209491</v>
      </c>
      <c r="E264" s="124" t="s">
        <v>1208</v>
      </c>
      <c r="F264" s="124" t="s">
        <v>1209</v>
      </c>
      <c r="G264" s="127" t="s">
        <v>75</v>
      </c>
      <c r="H264" s="126" t="s">
        <v>628</v>
      </c>
      <c r="I264" s="126" t="s">
        <v>598</v>
      </c>
      <c r="J264" s="126" t="s">
        <v>730</v>
      </c>
      <c r="K264" s="128" t="s">
        <v>735</v>
      </c>
      <c r="L264" s="121" t="s">
        <v>519</v>
      </c>
      <c r="M264" s="123" t="s">
        <v>736</v>
      </c>
      <c r="N264" s="129">
        <v>43709</v>
      </c>
      <c r="O264" s="129">
        <v>44895</v>
      </c>
      <c r="P264" s="129">
        <v>44895</v>
      </c>
      <c r="Q264" s="323">
        <v>306000</v>
      </c>
      <c r="R264" s="319"/>
      <c r="S264" s="324">
        <v>50264</v>
      </c>
      <c r="T264" s="324"/>
      <c r="U264" s="324">
        <v>102736</v>
      </c>
      <c r="V264" s="324"/>
      <c r="W264" s="324"/>
      <c r="X264" s="324"/>
      <c r="Y264" s="312">
        <v>153000</v>
      </c>
      <c r="Z264" s="325">
        <v>153000</v>
      </c>
      <c r="AA264" s="325">
        <v>0</v>
      </c>
      <c r="AB264" s="326"/>
      <c r="AC264" s="324">
        <v>50264</v>
      </c>
      <c r="AD264" s="324"/>
      <c r="AE264" s="324">
        <v>102736</v>
      </c>
      <c r="AF264" s="324"/>
      <c r="AG264" s="324"/>
      <c r="AH264" s="324"/>
      <c r="AI264" s="312">
        <v>153000</v>
      </c>
      <c r="AJ264" s="327">
        <v>153000</v>
      </c>
      <c r="AK264" s="327">
        <v>0</v>
      </c>
      <c r="AL264" s="328"/>
      <c r="AM264" s="324">
        <v>0</v>
      </c>
      <c r="AN264" s="324"/>
      <c r="AO264" s="324">
        <v>0</v>
      </c>
      <c r="AP264" s="279"/>
      <c r="AQ264" s="279"/>
      <c r="AR264" s="279"/>
      <c r="AS264" s="293">
        <v>0</v>
      </c>
      <c r="AT264" s="327">
        <v>0</v>
      </c>
      <c r="AU264" s="327">
        <v>0</v>
      </c>
      <c r="AV264" s="328"/>
      <c r="AW264" s="279"/>
      <c r="AX264" s="279"/>
      <c r="AY264" s="279"/>
      <c r="AZ264" s="279"/>
      <c r="BA264" s="279"/>
      <c r="BB264" s="279"/>
      <c r="BC264" s="293"/>
      <c r="BD264" s="319"/>
      <c r="BE264" s="293"/>
      <c r="BF264" s="319"/>
      <c r="BG264" s="293"/>
      <c r="BH264" s="293"/>
      <c r="BI264" s="337">
        <v>306000</v>
      </c>
      <c r="BJ264" s="338">
        <v>0</v>
      </c>
      <c r="BK264" s="126"/>
    </row>
    <row r="265" spans="1:63" ht="15.75">
      <c r="A265" s="314">
        <v>507637</v>
      </c>
      <c r="B265" s="125" t="s">
        <v>1210</v>
      </c>
      <c r="C265" s="124" t="s">
        <v>128</v>
      </c>
      <c r="D265" s="126">
        <v>209660</v>
      </c>
      <c r="E265" s="124" t="s">
        <v>1211</v>
      </c>
      <c r="F265" s="124" t="s">
        <v>1212</v>
      </c>
      <c r="G265" s="127" t="s">
        <v>68</v>
      </c>
      <c r="H265" s="126" t="s">
        <v>628</v>
      </c>
      <c r="I265" s="126" t="s">
        <v>598</v>
      </c>
      <c r="J265" s="126" t="s">
        <v>672</v>
      </c>
      <c r="K265" s="128" t="s">
        <v>673</v>
      </c>
      <c r="L265" s="121" t="s">
        <v>519</v>
      </c>
      <c r="M265" s="123" t="s">
        <v>736</v>
      </c>
      <c r="N265" s="129">
        <v>43709</v>
      </c>
      <c r="O265" s="129">
        <v>44895</v>
      </c>
      <c r="P265" s="129">
        <v>44895</v>
      </c>
      <c r="Q265" s="323">
        <v>224400</v>
      </c>
      <c r="R265" s="319"/>
      <c r="S265" s="324">
        <v>25000</v>
      </c>
      <c r="T265" s="324"/>
      <c r="U265" s="324">
        <v>49800</v>
      </c>
      <c r="V265" s="324"/>
      <c r="W265" s="324"/>
      <c r="X265" s="324"/>
      <c r="Y265" s="312">
        <v>74800</v>
      </c>
      <c r="Z265" s="325">
        <v>74800</v>
      </c>
      <c r="AA265" s="325">
        <v>0</v>
      </c>
      <c r="AB265" s="326"/>
      <c r="AC265" s="324">
        <v>25000</v>
      </c>
      <c r="AD265" s="324"/>
      <c r="AE265" s="324">
        <v>49800</v>
      </c>
      <c r="AF265" s="324"/>
      <c r="AG265" s="324"/>
      <c r="AH265" s="324"/>
      <c r="AI265" s="312">
        <v>74800</v>
      </c>
      <c r="AJ265" s="327">
        <v>74800</v>
      </c>
      <c r="AK265" s="327">
        <v>0</v>
      </c>
      <c r="AL265" s="328"/>
      <c r="AM265" s="324">
        <v>25000</v>
      </c>
      <c r="AN265" s="324"/>
      <c r="AO265" s="324">
        <v>49800</v>
      </c>
      <c r="AP265" s="279"/>
      <c r="AQ265" s="279"/>
      <c r="AR265" s="279"/>
      <c r="AS265" s="293">
        <v>74800</v>
      </c>
      <c r="AT265" s="327">
        <v>74800</v>
      </c>
      <c r="AU265" s="327">
        <v>0</v>
      </c>
      <c r="AV265" s="328"/>
      <c r="AW265" s="279"/>
      <c r="AX265" s="279"/>
      <c r="AY265" s="279"/>
      <c r="AZ265" s="279"/>
      <c r="BA265" s="279"/>
      <c r="BB265" s="279"/>
      <c r="BC265" s="293"/>
      <c r="BD265" s="319"/>
      <c r="BE265" s="293"/>
      <c r="BF265" s="319"/>
      <c r="BG265" s="293"/>
      <c r="BH265" s="293"/>
      <c r="BI265" s="337">
        <v>224400</v>
      </c>
      <c r="BJ265" s="338">
        <v>0</v>
      </c>
      <c r="BK265" s="126"/>
    </row>
    <row r="266" spans="1:63" ht="15.75">
      <c r="A266" s="314">
        <v>507776</v>
      </c>
      <c r="B266" s="124" t="s">
        <v>1213</v>
      </c>
      <c r="C266" s="124" t="s">
        <v>304</v>
      </c>
      <c r="D266" s="126">
        <v>209711</v>
      </c>
      <c r="E266" s="124" t="s">
        <v>1214</v>
      </c>
      <c r="F266" s="124" t="s">
        <v>1215</v>
      </c>
      <c r="G266" s="127" t="s">
        <v>53</v>
      </c>
      <c r="H266" s="126" t="s">
        <v>628</v>
      </c>
      <c r="I266" s="126" t="s">
        <v>598</v>
      </c>
      <c r="J266" s="126" t="s">
        <v>659</v>
      </c>
      <c r="K266" s="128" t="s">
        <v>660</v>
      </c>
      <c r="L266" s="121" t="s">
        <v>519</v>
      </c>
      <c r="M266" s="123" t="s">
        <v>1080</v>
      </c>
      <c r="N266" s="129">
        <v>43709</v>
      </c>
      <c r="O266" s="129">
        <v>44895</v>
      </c>
      <c r="P266" s="129">
        <v>44895</v>
      </c>
      <c r="Q266" s="323">
        <v>250000</v>
      </c>
      <c r="R266" s="319"/>
      <c r="S266" s="324">
        <v>48000</v>
      </c>
      <c r="T266" s="324">
        <v>0</v>
      </c>
      <c r="U266" s="324">
        <v>23333</v>
      </c>
      <c r="V266" s="324">
        <v>0</v>
      </c>
      <c r="W266" s="324">
        <v>0</v>
      </c>
      <c r="X266" s="324">
        <v>12000</v>
      </c>
      <c r="Y266" s="312">
        <v>83333</v>
      </c>
      <c r="Z266" s="325">
        <v>83333</v>
      </c>
      <c r="AA266" s="325">
        <v>0</v>
      </c>
      <c r="AB266" s="326"/>
      <c r="AC266" s="324">
        <v>48000</v>
      </c>
      <c r="AD266" s="324">
        <v>0</v>
      </c>
      <c r="AE266" s="324">
        <v>23333</v>
      </c>
      <c r="AF266" s="324">
        <v>0</v>
      </c>
      <c r="AG266" s="324">
        <v>0</v>
      </c>
      <c r="AH266" s="324">
        <v>12000</v>
      </c>
      <c r="AI266" s="312">
        <v>83333</v>
      </c>
      <c r="AJ266" s="327">
        <v>83333</v>
      </c>
      <c r="AK266" s="327">
        <v>0</v>
      </c>
      <c r="AL266" s="328"/>
      <c r="AM266" s="324">
        <v>48000</v>
      </c>
      <c r="AN266" s="324">
        <v>0</v>
      </c>
      <c r="AO266" s="324">
        <v>23334</v>
      </c>
      <c r="AP266" s="324">
        <v>0</v>
      </c>
      <c r="AQ266" s="324">
        <v>0</v>
      </c>
      <c r="AR266" s="324">
        <v>12000</v>
      </c>
      <c r="AS266" s="293">
        <v>83334</v>
      </c>
      <c r="AT266" s="327">
        <v>83334</v>
      </c>
      <c r="AU266" s="327">
        <v>0</v>
      </c>
      <c r="AV266" s="328"/>
      <c r="AW266" s="279"/>
      <c r="AX266" s="279"/>
      <c r="AY266" s="279"/>
      <c r="AZ266" s="279"/>
      <c r="BA266" s="279"/>
      <c r="BB266" s="279"/>
      <c r="BC266" s="293"/>
      <c r="BD266" s="319"/>
      <c r="BE266" s="293"/>
      <c r="BF266" s="319"/>
      <c r="BG266" s="293"/>
      <c r="BH266" s="293"/>
      <c r="BI266" s="337">
        <v>250000</v>
      </c>
      <c r="BJ266" s="338">
        <v>0</v>
      </c>
      <c r="BK266" s="126"/>
    </row>
    <row r="267" spans="1:63" ht="15.75">
      <c r="A267" s="314">
        <v>507693</v>
      </c>
      <c r="B267" s="349" t="s">
        <v>1216</v>
      </c>
      <c r="C267" s="124" t="s">
        <v>64</v>
      </c>
      <c r="D267" s="126">
        <v>209766</v>
      </c>
      <c r="E267" s="124" t="s">
        <v>1217</v>
      </c>
      <c r="F267" s="124" t="s">
        <v>1218</v>
      </c>
      <c r="G267" s="127" t="s">
        <v>53</v>
      </c>
      <c r="H267" s="126" t="s">
        <v>628</v>
      </c>
      <c r="I267" s="126" t="s">
        <v>598</v>
      </c>
      <c r="J267" s="123" t="s">
        <v>645</v>
      </c>
      <c r="K267" s="177" t="s">
        <v>666</v>
      </c>
      <c r="L267" s="121" t="s">
        <v>519</v>
      </c>
      <c r="M267" s="123" t="s">
        <v>1219</v>
      </c>
      <c r="N267" s="129">
        <v>43709</v>
      </c>
      <c r="O267" s="129">
        <v>44895</v>
      </c>
      <c r="P267" s="129">
        <v>44895</v>
      </c>
      <c r="Q267" s="323">
        <v>324369</v>
      </c>
      <c r="R267" s="319"/>
      <c r="S267" s="324">
        <v>30000</v>
      </c>
      <c r="T267" s="324"/>
      <c r="U267" s="324">
        <v>42000</v>
      </c>
      <c r="V267" s="324"/>
      <c r="W267" s="324">
        <v>19123</v>
      </c>
      <c r="X267" s="324">
        <v>17000</v>
      </c>
      <c r="Y267" s="312">
        <v>108123</v>
      </c>
      <c r="Z267" s="325">
        <v>108123</v>
      </c>
      <c r="AA267" s="325">
        <v>0</v>
      </c>
      <c r="AB267" s="326"/>
      <c r="AC267" s="324">
        <v>30000</v>
      </c>
      <c r="AD267" s="324"/>
      <c r="AE267" s="324">
        <v>42000</v>
      </c>
      <c r="AF267" s="324"/>
      <c r="AG267" s="324">
        <v>19123</v>
      </c>
      <c r="AH267" s="324">
        <v>17000</v>
      </c>
      <c r="AI267" s="312">
        <v>108123</v>
      </c>
      <c r="AJ267" s="327">
        <v>108123</v>
      </c>
      <c r="AK267" s="327">
        <v>0</v>
      </c>
      <c r="AL267" s="328"/>
      <c r="AM267" s="324">
        <v>30000</v>
      </c>
      <c r="AN267" s="324"/>
      <c r="AO267" s="324">
        <v>42000</v>
      </c>
      <c r="AP267" s="324"/>
      <c r="AQ267" s="324">
        <v>19123</v>
      </c>
      <c r="AR267" s="324">
        <v>17000</v>
      </c>
      <c r="AS267" s="293">
        <v>108123</v>
      </c>
      <c r="AT267" s="327">
        <v>108123</v>
      </c>
      <c r="AU267" s="327">
        <v>0</v>
      </c>
      <c r="AV267" s="328"/>
      <c r="AW267" s="279"/>
      <c r="AX267" s="279"/>
      <c r="AY267" s="279"/>
      <c r="AZ267" s="279"/>
      <c r="BA267" s="279"/>
      <c r="BB267" s="279"/>
      <c r="BC267" s="293"/>
      <c r="BD267" s="319"/>
      <c r="BE267" s="293"/>
      <c r="BF267" s="319"/>
      <c r="BG267" s="293"/>
      <c r="BH267" s="293"/>
      <c r="BI267" s="337">
        <v>324369</v>
      </c>
      <c r="BJ267" s="338">
        <v>0</v>
      </c>
      <c r="BK267" s="126"/>
    </row>
    <row r="268" spans="1:63" ht="15.75">
      <c r="A268" s="314">
        <v>512029</v>
      </c>
      <c r="B268" s="349" t="s">
        <v>1216</v>
      </c>
      <c r="C268" s="124" t="s">
        <v>64</v>
      </c>
      <c r="D268" s="126">
        <v>209766</v>
      </c>
      <c r="E268" s="148" t="s">
        <v>1217</v>
      </c>
      <c r="F268" s="148" t="s">
        <v>1218</v>
      </c>
      <c r="G268" s="127" t="s">
        <v>53</v>
      </c>
      <c r="H268" s="126" t="s">
        <v>628</v>
      </c>
      <c r="I268" s="126" t="s">
        <v>598</v>
      </c>
      <c r="J268" s="123" t="s">
        <v>645</v>
      </c>
      <c r="K268" s="386" t="s">
        <v>666</v>
      </c>
      <c r="L268" s="121" t="s">
        <v>5</v>
      </c>
      <c r="M268" s="123" t="s">
        <v>1057</v>
      </c>
      <c r="N268" s="129">
        <v>44287</v>
      </c>
      <c r="O268" s="129">
        <v>44651</v>
      </c>
      <c r="P268" s="129">
        <v>44651</v>
      </c>
      <c r="Q268" s="330">
        <v>55000</v>
      </c>
      <c r="R268" s="324"/>
      <c r="S268" s="324">
        <v>30000</v>
      </c>
      <c r="T268" s="324">
        <v>0</v>
      </c>
      <c r="U268" s="324">
        <v>25000</v>
      </c>
      <c r="V268" s="324">
        <v>0</v>
      </c>
      <c r="W268" s="324">
        <v>0</v>
      </c>
      <c r="X268" s="324">
        <v>0</v>
      </c>
      <c r="Y268" s="312">
        <v>55000</v>
      </c>
      <c r="Z268" s="325">
        <v>55000</v>
      </c>
      <c r="AA268" s="325">
        <v>0</v>
      </c>
      <c r="AB268" s="326"/>
      <c r="AC268" s="324">
        <v>30000</v>
      </c>
      <c r="AD268" s="324">
        <v>0</v>
      </c>
      <c r="AE268" s="324">
        <v>30000</v>
      </c>
      <c r="AF268" s="324">
        <v>0</v>
      </c>
      <c r="AG268" s="324">
        <v>0</v>
      </c>
      <c r="AH268" s="324">
        <v>0</v>
      </c>
      <c r="AI268" s="312">
        <v>60000</v>
      </c>
      <c r="AJ268" s="327">
        <v>60000</v>
      </c>
      <c r="AK268" s="327">
        <v>0</v>
      </c>
      <c r="AL268" s="328"/>
      <c r="AM268" s="324"/>
      <c r="AN268" s="324"/>
      <c r="AO268" s="324"/>
      <c r="AP268" s="324"/>
      <c r="AQ268" s="324"/>
      <c r="AR268" s="279"/>
      <c r="AS268" s="293"/>
      <c r="AT268" s="327"/>
      <c r="AU268" s="327"/>
      <c r="AV268" s="328"/>
      <c r="AW268" s="324"/>
      <c r="AX268" s="324"/>
      <c r="AY268" s="324"/>
      <c r="AZ268" s="324"/>
      <c r="BA268" s="324"/>
      <c r="BB268" s="324"/>
      <c r="BC268" s="293"/>
      <c r="BD268" s="319"/>
      <c r="BE268" s="293"/>
      <c r="BF268" s="319"/>
      <c r="BG268" s="293"/>
      <c r="BH268" s="293"/>
      <c r="BI268" s="337">
        <v>115000</v>
      </c>
      <c r="BJ268" s="338">
        <v>60000</v>
      </c>
      <c r="BK268" s="165"/>
    </row>
    <row r="269" spans="1:63" ht="15.75">
      <c r="A269" s="314">
        <v>512731</v>
      </c>
      <c r="B269" s="349" t="s">
        <v>1216</v>
      </c>
      <c r="C269" s="124" t="s">
        <v>64</v>
      </c>
      <c r="D269" s="126">
        <v>209766</v>
      </c>
      <c r="E269" s="124" t="s">
        <v>1217</v>
      </c>
      <c r="F269" s="124" t="s">
        <v>1218</v>
      </c>
      <c r="G269" s="127" t="s">
        <v>53</v>
      </c>
      <c r="H269" s="126" t="s">
        <v>597</v>
      </c>
      <c r="I269" s="126" t="s">
        <v>598</v>
      </c>
      <c r="J269" s="123" t="s">
        <v>645</v>
      </c>
      <c r="K269" s="177" t="s">
        <v>666</v>
      </c>
      <c r="L269" s="121" t="s">
        <v>685</v>
      </c>
      <c r="M269" s="123" t="s">
        <v>1175</v>
      </c>
      <c r="N269" s="129">
        <v>44409</v>
      </c>
      <c r="O269" s="129">
        <v>44957</v>
      </c>
      <c r="P269" s="129">
        <v>44957</v>
      </c>
      <c r="Q269" s="323">
        <v>125000</v>
      </c>
      <c r="R269" s="319"/>
      <c r="S269" s="324">
        <v>55000</v>
      </c>
      <c r="T269" s="324"/>
      <c r="U269" s="324">
        <v>50000</v>
      </c>
      <c r="V269" s="324"/>
      <c r="W269" s="324">
        <v>20000</v>
      </c>
      <c r="X269" s="324"/>
      <c r="Y269" s="312">
        <v>125000</v>
      </c>
      <c r="Z269" s="325">
        <v>125000</v>
      </c>
      <c r="AA269" s="325">
        <v>0</v>
      </c>
      <c r="AB269" s="326"/>
      <c r="AC269" s="324">
        <v>27500</v>
      </c>
      <c r="AD269" s="324"/>
      <c r="AE269" s="324">
        <v>25000</v>
      </c>
      <c r="AF269" s="324"/>
      <c r="AG269" s="324">
        <v>12500</v>
      </c>
      <c r="AH269" s="324"/>
      <c r="AI269" s="312">
        <v>65000</v>
      </c>
      <c r="AJ269" s="327">
        <v>65000</v>
      </c>
      <c r="AK269" s="327">
        <v>0</v>
      </c>
      <c r="AL269" s="328"/>
      <c r="AM269" s="324"/>
      <c r="AN269" s="324"/>
      <c r="AO269" s="324"/>
      <c r="AP269" s="324"/>
      <c r="AQ269" s="324"/>
      <c r="AR269" s="324"/>
      <c r="AS269" s="293"/>
      <c r="AT269" s="327"/>
      <c r="AU269" s="327"/>
      <c r="AV269" s="328"/>
      <c r="AW269" s="279"/>
      <c r="AX269" s="279"/>
      <c r="AY269" s="279"/>
      <c r="AZ269" s="279"/>
      <c r="BA269" s="279"/>
      <c r="BB269" s="279"/>
      <c r="BC269" s="293"/>
      <c r="BD269" s="319"/>
      <c r="BE269" s="293"/>
      <c r="BF269" s="319"/>
      <c r="BG269" s="293"/>
      <c r="BH269" s="293"/>
      <c r="BI269" s="337">
        <v>190000</v>
      </c>
      <c r="BJ269" s="338">
        <v>65000</v>
      </c>
      <c r="BK269" s="126"/>
    </row>
    <row r="270" spans="1:63" ht="15.75">
      <c r="A270" s="315">
        <v>509181</v>
      </c>
      <c r="B270" s="332" t="s">
        <v>618</v>
      </c>
      <c r="C270" s="124" t="s">
        <v>122</v>
      </c>
      <c r="D270" s="126">
        <v>209792</v>
      </c>
      <c r="E270" s="124" t="s">
        <v>619</v>
      </c>
      <c r="F270" s="124" t="s">
        <v>620</v>
      </c>
      <c r="G270" s="127" t="s">
        <v>46</v>
      </c>
      <c r="H270" s="126" t="s">
        <v>597</v>
      </c>
      <c r="I270" s="126" t="s">
        <v>609</v>
      </c>
      <c r="J270" s="126" t="s">
        <v>610</v>
      </c>
      <c r="K270" s="169" t="s">
        <v>621</v>
      </c>
      <c r="L270" s="121" t="s">
        <v>518</v>
      </c>
      <c r="M270" s="123" t="s">
        <v>622</v>
      </c>
      <c r="N270" s="129">
        <v>43952</v>
      </c>
      <c r="O270" s="129">
        <v>44805</v>
      </c>
      <c r="P270" s="129">
        <v>44805</v>
      </c>
      <c r="Q270" s="323">
        <v>779184</v>
      </c>
      <c r="R270" s="334">
        <v>30000</v>
      </c>
      <c r="S270" s="324">
        <v>78571</v>
      </c>
      <c r="T270" s="324">
        <v>300000</v>
      </c>
      <c r="U270" s="324">
        <v>101160.78</v>
      </c>
      <c r="V270" s="324"/>
      <c r="W270" s="324">
        <v>98839.22</v>
      </c>
      <c r="X270" s="324"/>
      <c r="Y270" s="312">
        <v>608571</v>
      </c>
      <c r="Z270" s="325">
        <v>608571</v>
      </c>
      <c r="AA270" s="325">
        <v>0</v>
      </c>
      <c r="AB270" s="326"/>
      <c r="AC270" s="324">
        <v>85714</v>
      </c>
      <c r="AD270" s="324"/>
      <c r="AE270" s="324"/>
      <c r="AF270" s="324"/>
      <c r="AG270" s="324">
        <v>84899</v>
      </c>
      <c r="AH270" s="324"/>
      <c r="AI270" s="312">
        <v>170613</v>
      </c>
      <c r="AJ270" s="327">
        <v>170613</v>
      </c>
      <c r="AK270" s="327">
        <v>0</v>
      </c>
      <c r="AL270" s="328"/>
      <c r="AM270" s="324">
        <v>35714</v>
      </c>
      <c r="AN270" s="324"/>
      <c r="AO270" s="324">
        <v>20000</v>
      </c>
      <c r="AP270" s="324"/>
      <c r="AQ270" s="324"/>
      <c r="AR270" s="324"/>
      <c r="AS270" s="293">
        <v>55714</v>
      </c>
      <c r="AT270" s="327">
        <v>55714</v>
      </c>
      <c r="AU270" s="327">
        <v>0</v>
      </c>
      <c r="AV270" s="328"/>
      <c r="AW270" s="279"/>
      <c r="AX270" s="279"/>
      <c r="AY270" s="279"/>
      <c r="AZ270" s="279"/>
      <c r="BA270" s="279"/>
      <c r="BB270" s="279"/>
      <c r="BC270" s="293"/>
      <c r="BD270" s="319"/>
      <c r="BE270" s="293"/>
      <c r="BF270" s="319"/>
      <c r="BG270" s="293"/>
      <c r="BH270" s="293"/>
      <c r="BI270" s="337">
        <v>834898</v>
      </c>
      <c r="BJ270" s="338">
        <v>55714</v>
      </c>
      <c r="BK270" s="126" t="s">
        <v>1180</v>
      </c>
    </row>
    <row r="271" spans="1:63" ht="15.75">
      <c r="A271" s="380">
        <v>509285</v>
      </c>
      <c r="B271" s="125" t="s">
        <v>1220</v>
      </c>
      <c r="C271" s="124" t="s">
        <v>206</v>
      </c>
      <c r="D271" s="126">
        <v>209801</v>
      </c>
      <c r="E271" s="124" t="s">
        <v>1221</v>
      </c>
      <c r="F271" s="124" t="s">
        <v>1222</v>
      </c>
      <c r="G271" s="127" t="s">
        <v>68</v>
      </c>
      <c r="H271" s="126" t="s">
        <v>597</v>
      </c>
      <c r="I271" s="126" t="s">
        <v>598</v>
      </c>
      <c r="J271" s="126" t="s">
        <v>888</v>
      </c>
      <c r="K271" s="128" t="s">
        <v>731</v>
      </c>
      <c r="L271" s="121" t="s">
        <v>517</v>
      </c>
      <c r="M271" s="123" t="s">
        <v>1223</v>
      </c>
      <c r="N271" s="129">
        <v>44013</v>
      </c>
      <c r="O271" s="129">
        <v>44742</v>
      </c>
      <c r="P271" s="129">
        <v>44742</v>
      </c>
      <c r="Q271" s="323">
        <v>150000</v>
      </c>
      <c r="R271" s="319"/>
      <c r="S271" s="324">
        <v>75000</v>
      </c>
      <c r="T271" s="324">
        <v>0</v>
      </c>
      <c r="U271" s="324">
        <v>0</v>
      </c>
      <c r="V271" s="324">
        <v>0</v>
      </c>
      <c r="W271" s="324">
        <v>0</v>
      </c>
      <c r="X271" s="324">
        <v>0</v>
      </c>
      <c r="Y271" s="312">
        <v>75000</v>
      </c>
      <c r="Z271" s="325">
        <v>75000</v>
      </c>
      <c r="AA271" s="325">
        <v>0</v>
      </c>
      <c r="AB271" s="326"/>
      <c r="AC271" s="324">
        <v>75000</v>
      </c>
      <c r="AD271" s="324">
        <v>0</v>
      </c>
      <c r="AE271" s="324">
        <v>0</v>
      </c>
      <c r="AF271" s="324">
        <v>0</v>
      </c>
      <c r="AG271" s="324">
        <v>0</v>
      </c>
      <c r="AH271" s="324">
        <v>0</v>
      </c>
      <c r="AI271" s="312">
        <v>75000</v>
      </c>
      <c r="AJ271" s="327">
        <v>75000</v>
      </c>
      <c r="AK271" s="327">
        <v>0</v>
      </c>
      <c r="AL271" s="328"/>
      <c r="AM271" s="324">
        <v>0</v>
      </c>
      <c r="AN271" s="324">
        <v>0</v>
      </c>
      <c r="AO271" s="324">
        <v>0</v>
      </c>
      <c r="AP271" s="324">
        <v>0</v>
      </c>
      <c r="AQ271" s="324">
        <v>0</v>
      </c>
      <c r="AR271" s="324">
        <v>0</v>
      </c>
      <c r="AS271" s="293">
        <v>0</v>
      </c>
      <c r="AT271" s="327">
        <v>0</v>
      </c>
      <c r="AU271" s="327">
        <v>0</v>
      </c>
      <c r="AV271" s="328"/>
      <c r="AW271" s="279"/>
      <c r="AX271" s="279"/>
      <c r="AY271" s="279"/>
      <c r="AZ271" s="279"/>
      <c r="BA271" s="279"/>
      <c r="BB271" s="279"/>
      <c r="BC271" s="293"/>
      <c r="BD271" s="319"/>
      <c r="BE271" s="293"/>
      <c r="BF271" s="319"/>
      <c r="BG271" s="293"/>
      <c r="BH271" s="293"/>
      <c r="BI271" s="337">
        <v>150000</v>
      </c>
      <c r="BJ271" s="338">
        <v>0</v>
      </c>
      <c r="BK271" s="126"/>
    </row>
    <row r="272" spans="1:63" ht="15.75">
      <c r="A272" s="314">
        <v>509667</v>
      </c>
      <c r="B272" s="125" t="s">
        <v>1224</v>
      </c>
      <c r="C272" s="163" t="s">
        <v>221</v>
      </c>
      <c r="D272" s="126">
        <v>209936</v>
      </c>
      <c r="E272" s="148" t="s">
        <v>1225</v>
      </c>
      <c r="F272" s="148" t="s">
        <v>1226</v>
      </c>
      <c r="G272" s="127" t="s">
        <v>68</v>
      </c>
      <c r="H272" s="164" t="s">
        <v>597</v>
      </c>
      <c r="I272" s="126" t="s">
        <v>598</v>
      </c>
      <c r="J272" s="126" t="s">
        <v>645</v>
      </c>
      <c r="K272" s="190" t="s">
        <v>754</v>
      </c>
      <c r="L272" s="121" t="s">
        <v>19</v>
      </c>
      <c r="M272" s="123" t="s">
        <v>1227</v>
      </c>
      <c r="N272" s="129">
        <v>44044</v>
      </c>
      <c r="O272" s="129">
        <v>44773</v>
      </c>
      <c r="P272" s="129">
        <v>44773</v>
      </c>
      <c r="Q272" s="323">
        <v>199999</v>
      </c>
      <c r="R272" s="319"/>
      <c r="S272" s="324">
        <v>29592</v>
      </c>
      <c r="T272" s="324">
        <v>0</v>
      </c>
      <c r="U272" s="324">
        <v>43472</v>
      </c>
      <c r="V272" s="324">
        <v>0</v>
      </c>
      <c r="W272" s="324">
        <v>26936</v>
      </c>
      <c r="X272" s="324"/>
      <c r="Y272" s="312">
        <v>100000</v>
      </c>
      <c r="Z272" s="325">
        <v>100000</v>
      </c>
      <c r="AA272" s="325">
        <v>0</v>
      </c>
      <c r="AB272" s="326"/>
      <c r="AC272" s="324">
        <v>31071</v>
      </c>
      <c r="AD272" s="324">
        <v>0</v>
      </c>
      <c r="AE272" s="324">
        <v>46224</v>
      </c>
      <c r="AF272" s="324"/>
      <c r="AG272" s="324">
        <v>21204</v>
      </c>
      <c r="AH272" s="324">
        <v>1500</v>
      </c>
      <c r="AI272" s="312">
        <v>99999</v>
      </c>
      <c r="AJ272" s="327">
        <v>99999</v>
      </c>
      <c r="AK272" s="327">
        <v>0</v>
      </c>
      <c r="AL272" s="328"/>
      <c r="AM272" s="324">
        <v>0</v>
      </c>
      <c r="AN272" s="324">
        <v>0</v>
      </c>
      <c r="AO272" s="324">
        <v>0</v>
      </c>
      <c r="AP272" s="324">
        <v>0</v>
      </c>
      <c r="AQ272" s="324">
        <v>0</v>
      </c>
      <c r="AR272" s="324">
        <v>0</v>
      </c>
      <c r="AS272" s="293">
        <v>0</v>
      </c>
      <c r="AT272" s="327">
        <v>0</v>
      </c>
      <c r="AU272" s="327">
        <v>0</v>
      </c>
      <c r="AV272" s="328"/>
      <c r="AW272" s="279"/>
      <c r="AX272" s="279"/>
      <c r="AY272" s="279"/>
      <c r="AZ272" s="279"/>
      <c r="BA272" s="279"/>
      <c r="BB272" s="279"/>
      <c r="BC272" s="293"/>
      <c r="BD272" s="319"/>
      <c r="BE272" s="293"/>
      <c r="BF272" s="319"/>
      <c r="BG272" s="293"/>
      <c r="BH272" s="293"/>
      <c r="BI272" s="337">
        <v>199999</v>
      </c>
      <c r="BJ272" s="338">
        <v>0</v>
      </c>
      <c r="BK272" s="126"/>
    </row>
    <row r="273" spans="1:63" ht="15.75">
      <c r="A273" s="314">
        <v>509703</v>
      </c>
      <c r="B273" s="188" t="s">
        <v>1228</v>
      </c>
      <c r="C273" s="163" t="s">
        <v>157</v>
      </c>
      <c r="D273" s="163">
        <v>209946</v>
      </c>
      <c r="E273" s="148" t="s">
        <v>1229</v>
      </c>
      <c r="F273" s="170" t="s">
        <v>1230</v>
      </c>
      <c r="G273" s="127" t="s">
        <v>68</v>
      </c>
      <c r="H273" s="149" t="s">
        <v>597</v>
      </c>
      <c r="I273" s="126" t="s">
        <v>598</v>
      </c>
      <c r="J273" s="126" t="s">
        <v>683</v>
      </c>
      <c r="K273" s="128" t="s">
        <v>684</v>
      </c>
      <c r="L273" s="121" t="s">
        <v>19</v>
      </c>
      <c r="M273" s="123" t="s">
        <v>674</v>
      </c>
      <c r="N273" s="129">
        <v>44044</v>
      </c>
      <c r="O273" s="129">
        <v>44408</v>
      </c>
      <c r="P273" s="129">
        <v>44408</v>
      </c>
      <c r="Q273" s="323">
        <v>80000</v>
      </c>
      <c r="R273" s="319"/>
      <c r="S273" s="324">
        <v>30000</v>
      </c>
      <c r="T273" s="324">
        <v>0</v>
      </c>
      <c r="U273" s="324">
        <v>41000</v>
      </c>
      <c r="V273" s="324">
        <v>0</v>
      </c>
      <c r="W273" s="324">
        <v>9000</v>
      </c>
      <c r="X273" s="324">
        <v>0</v>
      </c>
      <c r="Y273" s="312">
        <v>80000</v>
      </c>
      <c r="Z273" s="325">
        <v>80000</v>
      </c>
      <c r="AA273" s="325">
        <v>0</v>
      </c>
      <c r="AB273" s="326"/>
      <c r="AC273" s="324">
        <v>0</v>
      </c>
      <c r="AD273" s="324">
        <v>0</v>
      </c>
      <c r="AE273" s="324">
        <v>0</v>
      </c>
      <c r="AF273" s="324">
        <v>0</v>
      </c>
      <c r="AG273" s="324">
        <v>0</v>
      </c>
      <c r="AH273" s="324">
        <v>0</v>
      </c>
      <c r="AI273" s="312">
        <v>0</v>
      </c>
      <c r="AJ273" s="327">
        <v>0</v>
      </c>
      <c r="AK273" s="327">
        <v>0</v>
      </c>
      <c r="AL273" s="328"/>
      <c r="AM273" s="324">
        <v>0</v>
      </c>
      <c r="AN273" s="324">
        <v>0</v>
      </c>
      <c r="AO273" s="324">
        <v>0</v>
      </c>
      <c r="AP273" s="324">
        <v>0</v>
      </c>
      <c r="AQ273" s="324">
        <v>0</v>
      </c>
      <c r="AR273" s="324">
        <v>0</v>
      </c>
      <c r="AS273" s="293">
        <v>0</v>
      </c>
      <c r="AT273" s="327">
        <v>0</v>
      </c>
      <c r="AU273" s="327">
        <v>0</v>
      </c>
      <c r="AV273" s="328"/>
      <c r="AW273" s="279"/>
      <c r="AX273" s="279"/>
      <c r="AY273" s="279"/>
      <c r="AZ273" s="279"/>
      <c r="BA273" s="279"/>
      <c r="BB273" s="279"/>
      <c r="BC273" s="293"/>
      <c r="BD273" s="319"/>
      <c r="BE273" s="293"/>
      <c r="BF273" s="319"/>
      <c r="BG273" s="293"/>
      <c r="BH273" s="293"/>
      <c r="BI273" s="337">
        <v>80000</v>
      </c>
      <c r="BJ273" s="338">
        <v>0</v>
      </c>
      <c r="BK273" s="126"/>
    </row>
    <row r="274" spans="1:63" ht="15.75">
      <c r="A274" s="314">
        <v>500144</v>
      </c>
      <c r="B274" s="125" t="s">
        <v>1231</v>
      </c>
      <c r="C274" s="124" t="s">
        <v>1232</v>
      </c>
      <c r="D274" s="126">
        <v>210085</v>
      </c>
      <c r="E274" s="121" t="s">
        <v>1233</v>
      </c>
      <c r="F274" s="121" t="s">
        <v>1234</v>
      </c>
      <c r="G274" s="127" t="s">
        <v>46</v>
      </c>
      <c r="H274" s="123" t="s">
        <v>597</v>
      </c>
      <c r="I274" s="123" t="s">
        <v>703</v>
      </c>
      <c r="J274" s="126" t="s">
        <v>774</v>
      </c>
      <c r="K274" s="128" t="s">
        <v>775</v>
      </c>
      <c r="L274" s="121" t="s">
        <v>637</v>
      </c>
      <c r="M274" s="123" t="s">
        <v>638</v>
      </c>
      <c r="N274" s="129">
        <v>42248</v>
      </c>
      <c r="O274" s="129">
        <v>42643</v>
      </c>
      <c r="P274" s="129">
        <v>42668</v>
      </c>
      <c r="Q274" s="330">
        <v>6000</v>
      </c>
      <c r="R274" s="324">
        <v>6000</v>
      </c>
      <c r="S274" s="324"/>
      <c r="T274" s="324">
        <v>0</v>
      </c>
      <c r="U274" s="324">
        <v>0</v>
      </c>
      <c r="V274" s="324"/>
      <c r="W274" s="324">
        <v>0</v>
      </c>
      <c r="X274" s="324">
        <v>0</v>
      </c>
      <c r="Y274" s="312">
        <v>6000</v>
      </c>
      <c r="Z274" s="325">
        <v>6000</v>
      </c>
      <c r="AA274" s="325">
        <v>0</v>
      </c>
      <c r="AB274" s="326"/>
      <c r="AC274" s="324" t="s">
        <v>602</v>
      </c>
      <c r="AD274" s="324" t="s">
        <v>602</v>
      </c>
      <c r="AE274" s="324" t="s">
        <v>602</v>
      </c>
      <c r="AF274" s="324" t="s">
        <v>602</v>
      </c>
      <c r="AG274" s="324" t="s">
        <v>602</v>
      </c>
      <c r="AH274" s="324"/>
      <c r="AI274" s="312">
        <v>0</v>
      </c>
      <c r="AJ274" s="327">
        <v>0</v>
      </c>
      <c r="AK274" s="327">
        <v>0</v>
      </c>
      <c r="AL274" s="328"/>
      <c r="AM274" s="324">
        <v>0</v>
      </c>
      <c r="AN274" s="324">
        <v>0</v>
      </c>
      <c r="AO274" s="324">
        <v>0</v>
      </c>
      <c r="AP274" s="324">
        <v>0</v>
      </c>
      <c r="AQ274" s="324">
        <v>0</v>
      </c>
      <c r="AR274" s="324">
        <v>0</v>
      </c>
      <c r="AS274" s="293">
        <v>0</v>
      </c>
      <c r="AT274" s="327">
        <v>0</v>
      </c>
      <c r="AU274" s="327">
        <v>0</v>
      </c>
      <c r="AV274" s="328"/>
      <c r="AW274" s="324" t="s">
        <v>602</v>
      </c>
      <c r="AX274" s="324" t="s">
        <v>602</v>
      </c>
      <c r="AY274" s="324" t="s">
        <v>602</v>
      </c>
      <c r="AZ274" s="324" t="s">
        <v>602</v>
      </c>
      <c r="BA274" s="324"/>
      <c r="BB274" s="324" t="s">
        <v>602</v>
      </c>
      <c r="BC274" s="293"/>
      <c r="BD274" s="319"/>
      <c r="BE274" s="293"/>
      <c r="BF274" s="319"/>
      <c r="BG274" s="293"/>
      <c r="BH274" s="293"/>
      <c r="BI274" s="337">
        <v>6000</v>
      </c>
      <c r="BJ274" s="338">
        <v>0</v>
      </c>
      <c r="BK274" s="280"/>
    </row>
    <row r="275" spans="1:63" ht="15.75">
      <c r="A275" s="314">
        <v>501348</v>
      </c>
      <c r="B275" s="125" t="s">
        <v>1235</v>
      </c>
      <c r="C275" s="124" t="s">
        <v>325</v>
      </c>
      <c r="D275" s="126">
        <v>210089</v>
      </c>
      <c r="E275" s="124" t="s">
        <v>1236</v>
      </c>
      <c r="F275" s="124" t="s">
        <v>1237</v>
      </c>
      <c r="G275" s="127" t="s">
        <v>82</v>
      </c>
      <c r="H275" s="126" t="s">
        <v>597</v>
      </c>
      <c r="I275" s="126" t="s">
        <v>598</v>
      </c>
      <c r="J275" s="126" t="s">
        <v>888</v>
      </c>
      <c r="K275" s="128" t="s">
        <v>731</v>
      </c>
      <c r="L275" s="121" t="s">
        <v>515</v>
      </c>
      <c r="M275" s="123" t="s">
        <v>934</v>
      </c>
      <c r="N275" s="129">
        <v>42614</v>
      </c>
      <c r="O275" s="129">
        <v>44286</v>
      </c>
      <c r="P275" s="129">
        <v>44334</v>
      </c>
      <c r="Q275" s="323">
        <v>692013</v>
      </c>
      <c r="R275" s="319"/>
      <c r="S275" s="324">
        <v>102100</v>
      </c>
      <c r="T275" s="324">
        <v>0</v>
      </c>
      <c r="U275" s="324">
        <v>45900</v>
      </c>
      <c r="V275" s="324"/>
      <c r="W275" s="324">
        <v>82671</v>
      </c>
      <c r="X275" s="324">
        <v>0</v>
      </c>
      <c r="Y275" s="312">
        <v>230671</v>
      </c>
      <c r="Z275" s="325">
        <v>230671</v>
      </c>
      <c r="AA275" s="325">
        <v>0</v>
      </c>
      <c r="AB275" s="326"/>
      <c r="AC275" s="324">
        <v>102100</v>
      </c>
      <c r="AD275" s="324">
        <v>0</v>
      </c>
      <c r="AE275" s="324">
        <v>45900</v>
      </c>
      <c r="AF275" s="324">
        <v>82671</v>
      </c>
      <c r="AG275" s="324">
        <v>0</v>
      </c>
      <c r="AH275" s="324"/>
      <c r="AI275" s="312">
        <v>230671</v>
      </c>
      <c r="AJ275" s="327">
        <v>230671</v>
      </c>
      <c r="AK275" s="327">
        <v>0</v>
      </c>
      <c r="AL275" s="328"/>
      <c r="AM275" s="279">
        <v>102100</v>
      </c>
      <c r="AN275" s="279">
        <v>0</v>
      </c>
      <c r="AO275" s="279">
        <v>45900</v>
      </c>
      <c r="AP275" s="279"/>
      <c r="AQ275" s="279">
        <v>82671</v>
      </c>
      <c r="AR275" s="279">
        <v>0</v>
      </c>
      <c r="AS275" s="293">
        <v>230671</v>
      </c>
      <c r="AT275" s="327">
        <v>230671</v>
      </c>
      <c r="AU275" s="327">
        <v>0</v>
      </c>
      <c r="AV275" s="328"/>
      <c r="AW275" s="279"/>
      <c r="AX275" s="279"/>
      <c r="AY275" s="279"/>
      <c r="AZ275" s="279"/>
      <c r="BA275" s="279"/>
      <c r="BB275" s="279"/>
      <c r="BC275" s="293"/>
      <c r="BD275" s="319"/>
      <c r="BE275" s="293"/>
      <c r="BF275" s="319"/>
      <c r="BG275" s="293"/>
      <c r="BH275" s="293"/>
      <c r="BI275" s="337">
        <v>692013</v>
      </c>
      <c r="BJ275" s="338">
        <v>0</v>
      </c>
      <c r="BK275" s="126"/>
    </row>
    <row r="276" spans="1:63" ht="15.75">
      <c r="A276" s="314">
        <v>502529</v>
      </c>
      <c r="B276" s="125" t="s">
        <v>1235</v>
      </c>
      <c r="C276" s="124" t="s">
        <v>325</v>
      </c>
      <c r="D276" s="126">
        <v>210089</v>
      </c>
      <c r="E276" s="124" t="s">
        <v>1236</v>
      </c>
      <c r="F276" s="124" t="s">
        <v>1237</v>
      </c>
      <c r="G276" s="127" t="s">
        <v>82</v>
      </c>
      <c r="H276" s="126" t="s">
        <v>597</v>
      </c>
      <c r="I276" s="126" t="s">
        <v>598</v>
      </c>
      <c r="J276" s="126" t="s">
        <v>888</v>
      </c>
      <c r="K276" s="128" t="s">
        <v>731</v>
      </c>
      <c r="L276" s="121" t="s">
        <v>517</v>
      </c>
      <c r="M276" s="123" t="s">
        <v>1238</v>
      </c>
      <c r="N276" s="129">
        <v>42826</v>
      </c>
      <c r="O276" s="129">
        <v>43921</v>
      </c>
      <c r="P276" s="129">
        <v>43921</v>
      </c>
      <c r="Q276" s="323">
        <v>150000</v>
      </c>
      <c r="R276" s="319"/>
      <c r="S276" s="324">
        <v>50000</v>
      </c>
      <c r="T276" s="324">
        <v>0</v>
      </c>
      <c r="U276" s="324">
        <v>0</v>
      </c>
      <c r="V276" s="324"/>
      <c r="W276" s="324">
        <v>0</v>
      </c>
      <c r="X276" s="324">
        <v>0</v>
      </c>
      <c r="Y276" s="312">
        <v>50000</v>
      </c>
      <c r="Z276" s="325">
        <v>50000</v>
      </c>
      <c r="AA276" s="325">
        <v>0</v>
      </c>
      <c r="AB276" s="326"/>
      <c r="AC276" s="324">
        <v>50000</v>
      </c>
      <c r="AD276" s="324">
        <v>0</v>
      </c>
      <c r="AE276" s="324">
        <v>0</v>
      </c>
      <c r="AF276" s="324">
        <v>0</v>
      </c>
      <c r="AG276" s="324">
        <v>0</v>
      </c>
      <c r="AH276" s="324"/>
      <c r="AI276" s="312">
        <v>50000</v>
      </c>
      <c r="AJ276" s="327">
        <v>50000</v>
      </c>
      <c r="AK276" s="327">
        <v>0</v>
      </c>
      <c r="AL276" s="328"/>
      <c r="AM276" s="324">
        <v>50000</v>
      </c>
      <c r="AN276" s="324">
        <v>0</v>
      </c>
      <c r="AO276" s="324">
        <v>0</v>
      </c>
      <c r="AP276" s="324">
        <v>0</v>
      </c>
      <c r="AQ276" s="324">
        <v>0</v>
      </c>
      <c r="AR276" s="279">
        <v>0</v>
      </c>
      <c r="AS276" s="293">
        <v>50000</v>
      </c>
      <c r="AT276" s="327">
        <v>50000</v>
      </c>
      <c r="AU276" s="327">
        <v>0</v>
      </c>
      <c r="AV276" s="328"/>
      <c r="AW276" s="279" t="s">
        <v>602</v>
      </c>
      <c r="AX276" s="279" t="s">
        <v>602</v>
      </c>
      <c r="AY276" s="279" t="s">
        <v>602</v>
      </c>
      <c r="AZ276" s="279" t="s">
        <v>602</v>
      </c>
      <c r="BA276" s="279"/>
      <c r="BB276" s="279" t="s">
        <v>602</v>
      </c>
      <c r="BC276" s="293">
        <v>0</v>
      </c>
      <c r="BD276" s="319"/>
      <c r="BE276" s="293"/>
      <c r="BF276" s="319"/>
      <c r="BG276" s="293"/>
      <c r="BH276" s="293"/>
      <c r="BI276" s="337">
        <v>150000</v>
      </c>
      <c r="BJ276" s="338">
        <v>0</v>
      </c>
      <c r="BK276" s="126" t="s">
        <v>789</v>
      </c>
    </row>
    <row r="277" spans="1:63" ht="15.75">
      <c r="A277" s="314">
        <v>507778</v>
      </c>
      <c r="B277" s="124" t="s">
        <v>1235</v>
      </c>
      <c r="C277" s="124" t="s">
        <v>325</v>
      </c>
      <c r="D277" s="126">
        <v>210089</v>
      </c>
      <c r="E277" s="124" t="s">
        <v>1236</v>
      </c>
      <c r="F277" s="124" t="s">
        <v>1237</v>
      </c>
      <c r="G277" s="127" t="s">
        <v>82</v>
      </c>
      <c r="H277" s="126" t="s">
        <v>597</v>
      </c>
      <c r="I277" s="126" t="s">
        <v>598</v>
      </c>
      <c r="J277" s="126" t="s">
        <v>888</v>
      </c>
      <c r="K277" s="128" t="s">
        <v>731</v>
      </c>
      <c r="L277" s="121" t="s">
        <v>519</v>
      </c>
      <c r="M277" s="126" t="s">
        <v>965</v>
      </c>
      <c r="N277" s="129">
        <v>43709</v>
      </c>
      <c r="O277" s="129">
        <v>44895</v>
      </c>
      <c r="P277" s="129">
        <v>44895</v>
      </c>
      <c r="Q277" s="323">
        <v>388042</v>
      </c>
      <c r="R277" s="319"/>
      <c r="S277" s="324">
        <v>131250</v>
      </c>
      <c r="T277" s="324">
        <v>0</v>
      </c>
      <c r="U277" s="324">
        <v>34000</v>
      </c>
      <c r="V277" s="324">
        <v>0</v>
      </c>
      <c r="W277" s="324">
        <v>30000</v>
      </c>
      <c r="X277" s="324">
        <v>0</v>
      </c>
      <c r="Y277" s="312">
        <v>195250</v>
      </c>
      <c r="Z277" s="325">
        <v>195250</v>
      </c>
      <c r="AA277" s="325">
        <v>0</v>
      </c>
      <c r="AB277" s="326"/>
      <c r="AC277" s="324">
        <v>105000</v>
      </c>
      <c r="AD277" s="324">
        <v>0</v>
      </c>
      <c r="AE277" s="324">
        <v>34000</v>
      </c>
      <c r="AF277" s="324">
        <v>0</v>
      </c>
      <c r="AG277" s="324">
        <v>30000</v>
      </c>
      <c r="AH277" s="324">
        <v>0</v>
      </c>
      <c r="AI277" s="312">
        <v>169000</v>
      </c>
      <c r="AJ277" s="327">
        <v>169000</v>
      </c>
      <c r="AK277" s="327">
        <v>0</v>
      </c>
      <c r="AL277" s="328"/>
      <c r="AM277" s="324">
        <v>13125</v>
      </c>
      <c r="AN277" s="324">
        <v>0</v>
      </c>
      <c r="AO277" s="324">
        <v>5667</v>
      </c>
      <c r="AP277" s="324">
        <v>0</v>
      </c>
      <c r="AQ277" s="324">
        <v>5000</v>
      </c>
      <c r="AR277" s="324">
        <v>0</v>
      </c>
      <c r="AS277" s="293">
        <v>23792</v>
      </c>
      <c r="AT277" s="327">
        <v>23792</v>
      </c>
      <c r="AU277" s="327">
        <v>0</v>
      </c>
      <c r="AV277" s="328"/>
      <c r="AW277" s="279">
        <v>65625</v>
      </c>
      <c r="AX277" s="279"/>
      <c r="AY277" s="279">
        <v>28333</v>
      </c>
      <c r="AZ277" s="279">
        <v>25000</v>
      </c>
      <c r="BA277" s="279"/>
      <c r="BB277" s="279"/>
      <c r="BC277" s="293">
        <v>118958</v>
      </c>
      <c r="BD277" s="319"/>
      <c r="BE277" s="293"/>
      <c r="BF277" s="319"/>
      <c r="BG277" s="293"/>
      <c r="BH277" s="293"/>
      <c r="BI277" s="337">
        <v>507000</v>
      </c>
      <c r="BJ277" s="338">
        <v>118958</v>
      </c>
      <c r="BK277" s="126"/>
    </row>
    <row r="278" spans="1:63" ht="15.75">
      <c r="A278" s="314">
        <v>501332</v>
      </c>
      <c r="B278" s="125" t="s">
        <v>1239</v>
      </c>
      <c r="C278" s="124" t="s">
        <v>262</v>
      </c>
      <c r="D278" s="126">
        <v>210174</v>
      </c>
      <c r="E278" s="124" t="s">
        <v>1240</v>
      </c>
      <c r="F278" s="124" t="s">
        <v>1241</v>
      </c>
      <c r="G278" s="127" t="s">
        <v>46</v>
      </c>
      <c r="H278" s="126" t="s">
        <v>628</v>
      </c>
      <c r="I278" s="126" t="s">
        <v>598</v>
      </c>
      <c r="J278" s="126" t="s">
        <v>696</v>
      </c>
      <c r="K278" s="128" t="s">
        <v>1242</v>
      </c>
      <c r="L278" s="121" t="s">
        <v>515</v>
      </c>
      <c r="M278" s="123" t="s">
        <v>839</v>
      </c>
      <c r="N278" s="129">
        <v>42614</v>
      </c>
      <c r="O278" s="129">
        <v>43708</v>
      </c>
      <c r="P278" s="129">
        <v>43708</v>
      </c>
      <c r="Q278" s="323">
        <v>259000</v>
      </c>
      <c r="R278" s="319"/>
      <c r="S278" s="324">
        <v>65000</v>
      </c>
      <c r="T278" s="324">
        <v>0</v>
      </c>
      <c r="U278" s="324">
        <v>10000</v>
      </c>
      <c r="V278" s="324"/>
      <c r="W278" s="324">
        <v>18000</v>
      </c>
      <c r="X278" s="324">
        <v>0</v>
      </c>
      <c r="Y278" s="312">
        <v>93000</v>
      </c>
      <c r="Z278" s="325">
        <v>93000</v>
      </c>
      <c r="AA278" s="325">
        <v>0</v>
      </c>
      <c r="AB278" s="326"/>
      <c r="AC278" s="324">
        <v>65000</v>
      </c>
      <c r="AD278" s="324">
        <v>0</v>
      </c>
      <c r="AE278" s="324">
        <v>0</v>
      </c>
      <c r="AF278" s="324">
        <v>18000</v>
      </c>
      <c r="AG278" s="324">
        <v>0</v>
      </c>
      <c r="AH278" s="324"/>
      <c r="AI278" s="312">
        <v>83000</v>
      </c>
      <c r="AJ278" s="327">
        <v>83000</v>
      </c>
      <c r="AK278" s="327">
        <v>0</v>
      </c>
      <c r="AL278" s="328"/>
      <c r="AM278" s="279">
        <v>65000</v>
      </c>
      <c r="AN278" s="279">
        <v>0</v>
      </c>
      <c r="AO278" s="279">
        <v>0</v>
      </c>
      <c r="AP278" s="279"/>
      <c r="AQ278" s="279">
        <v>18000</v>
      </c>
      <c r="AR278" s="279">
        <v>0</v>
      </c>
      <c r="AS278" s="293">
        <v>83000</v>
      </c>
      <c r="AT278" s="327">
        <v>83000</v>
      </c>
      <c r="AU278" s="327">
        <v>0</v>
      </c>
      <c r="AV278" s="328"/>
      <c r="AW278" s="279"/>
      <c r="AX278" s="279"/>
      <c r="AY278" s="279"/>
      <c r="AZ278" s="279"/>
      <c r="BA278" s="279"/>
      <c r="BB278" s="279"/>
      <c r="BC278" s="293"/>
      <c r="BD278" s="319"/>
      <c r="BE278" s="293"/>
      <c r="BF278" s="319"/>
      <c r="BG278" s="293"/>
      <c r="BH278" s="293"/>
      <c r="BI278" s="337">
        <v>259000</v>
      </c>
      <c r="BJ278" s="338">
        <v>0</v>
      </c>
      <c r="BK278" s="126"/>
    </row>
    <row r="279" spans="1:63" ht="15.75">
      <c r="A279" s="314">
        <v>507639</v>
      </c>
      <c r="B279" s="125" t="s">
        <v>1239</v>
      </c>
      <c r="C279" s="124" t="s">
        <v>262</v>
      </c>
      <c r="D279" s="126">
        <v>210174</v>
      </c>
      <c r="E279" s="124" t="s">
        <v>1240</v>
      </c>
      <c r="F279" s="124" t="s">
        <v>1241</v>
      </c>
      <c r="G279" s="127" t="s">
        <v>46</v>
      </c>
      <c r="H279" s="126" t="s">
        <v>628</v>
      </c>
      <c r="I279" s="126" t="s">
        <v>598</v>
      </c>
      <c r="J279" s="126" t="s">
        <v>696</v>
      </c>
      <c r="K279" s="128" t="s">
        <v>1242</v>
      </c>
      <c r="L279" s="121" t="s">
        <v>519</v>
      </c>
      <c r="M279" s="123" t="s">
        <v>847</v>
      </c>
      <c r="N279" s="129">
        <v>43709</v>
      </c>
      <c r="O279" s="129">
        <v>44895</v>
      </c>
      <c r="P279" s="129">
        <v>44895</v>
      </c>
      <c r="Q279" s="323">
        <v>240000</v>
      </c>
      <c r="R279" s="319"/>
      <c r="S279" s="324">
        <v>43750</v>
      </c>
      <c r="T279" s="324"/>
      <c r="U279" s="324">
        <v>19727.87</v>
      </c>
      <c r="V279" s="324"/>
      <c r="W279" s="324">
        <v>25272.13</v>
      </c>
      <c r="X279" s="324"/>
      <c r="Y279" s="312">
        <v>88750</v>
      </c>
      <c r="Z279" s="325">
        <v>88750</v>
      </c>
      <c r="AA279" s="325">
        <v>0</v>
      </c>
      <c r="AB279" s="326"/>
      <c r="AC279" s="324">
        <v>60000</v>
      </c>
      <c r="AD279" s="324"/>
      <c r="AE279" s="324">
        <v>20000</v>
      </c>
      <c r="AF279" s="324"/>
      <c r="AG279" s="324">
        <v>0</v>
      </c>
      <c r="AH279" s="324"/>
      <c r="AI279" s="312">
        <v>80000</v>
      </c>
      <c r="AJ279" s="327">
        <v>80000</v>
      </c>
      <c r="AK279" s="327">
        <v>0</v>
      </c>
      <c r="AL279" s="328"/>
      <c r="AM279" s="324">
        <v>26250</v>
      </c>
      <c r="AN279" s="324"/>
      <c r="AO279" s="324">
        <v>20000</v>
      </c>
      <c r="AP279" s="324"/>
      <c r="AQ279" s="324">
        <v>25000</v>
      </c>
      <c r="AR279" s="324"/>
      <c r="AS279" s="293">
        <v>71250</v>
      </c>
      <c r="AT279" s="327">
        <v>71250</v>
      </c>
      <c r="AU279" s="327">
        <v>0</v>
      </c>
      <c r="AV279" s="328"/>
      <c r="AW279" s="279"/>
      <c r="AX279" s="279"/>
      <c r="AY279" s="279"/>
      <c r="AZ279" s="279"/>
      <c r="BA279" s="279"/>
      <c r="BB279" s="279"/>
      <c r="BC279" s="293"/>
      <c r="BD279" s="319"/>
      <c r="BE279" s="293"/>
      <c r="BF279" s="319"/>
      <c r="BG279" s="293"/>
      <c r="BH279" s="293"/>
      <c r="BI279" s="337">
        <v>240000</v>
      </c>
      <c r="BJ279" s="338">
        <v>0</v>
      </c>
      <c r="BK279" s="126"/>
    </row>
    <row r="280" spans="1:63" ht="15.75">
      <c r="A280" s="314">
        <v>507778</v>
      </c>
      <c r="B280" s="125" t="s">
        <v>1239</v>
      </c>
      <c r="C280" s="124" t="s">
        <v>262</v>
      </c>
      <c r="D280" s="126">
        <v>210174</v>
      </c>
      <c r="E280" s="124" t="s">
        <v>1240</v>
      </c>
      <c r="F280" s="124" t="s">
        <v>1241</v>
      </c>
      <c r="G280" s="127" t="s">
        <v>46</v>
      </c>
      <c r="H280" s="126" t="s">
        <v>628</v>
      </c>
      <c r="I280" s="126" t="s">
        <v>598</v>
      </c>
      <c r="J280" s="126" t="s">
        <v>696</v>
      </c>
      <c r="K280" s="169" t="s">
        <v>1243</v>
      </c>
      <c r="L280" s="121" t="s">
        <v>519</v>
      </c>
      <c r="M280" s="126" t="s">
        <v>965</v>
      </c>
      <c r="N280" s="129">
        <v>43709</v>
      </c>
      <c r="O280" s="129">
        <v>44895</v>
      </c>
      <c r="P280" s="129">
        <v>44895</v>
      </c>
      <c r="Q280" s="323">
        <v>154875</v>
      </c>
      <c r="R280" s="319"/>
      <c r="S280" s="324">
        <v>71250</v>
      </c>
      <c r="T280" s="324">
        <v>0</v>
      </c>
      <c r="U280" s="324">
        <v>343.01000000000022</v>
      </c>
      <c r="V280" s="324">
        <v>0</v>
      </c>
      <c r="W280" s="324">
        <v>8656.99</v>
      </c>
      <c r="X280" s="324">
        <v>0</v>
      </c>
      <c r="Y280" s="312">
        <v>80250</v>
      </c>
      <c r="Z280" s="325">
        <v>80250</v>
      </c>
      <c r="AA280" s="325">
        <v>0</v>
      </c>
      <c r="AB280" s="326"/>
      <c r="AC280" s="324">
        <v>57000</v>
      </c>
      <c r="AD280" s="324">
        <v>0</v>
      </c>
      <c r="AE280" s="324">
        <v>4000</v>
      </c>
      <c r="AF280" s="324">
        <v>0</v>
      </c>
      <c r="AG280" s="324">
        <v>5000</v>
      </c>
      <c r="AH280" s="324">
        <v>0</v>
      </c>
      <c r="AI280" s="312">
        <v>66000</v>
      </c>
      <c r="AJ280" s="327">
        <v>66000</v>
      </c>
      <c r="AK280" s="327">
        <v>0</v>
      </c>
      <c r="AL280" s="328"/>
      <c r="AM280" s="324">
        <v>7125</v>
      </c>
      <c r="AN280" s="324">
        <v>0</v>
      </c>
      <c r="AO280" s="324">
        <v>667</v>
      </c>
      <c r="AP280" s="324">
        <v>0</v>
      </c>
      <c r="AQ280" s="324">
        <v>833</v>
      </c>
      <c r="AR280" s="324">
        <v>0</v>
      </c>
      <c r="AS280" s="293">
        <v>8625</v>
      </c>
      <c r="AT280" s="327">
        <v>8625</v>
      </c>
      <c r="AU280" s="327">
        <v>0</v>
      </c>
      <c r="AV280" s="328"/>
      <c r="AW280" s="279">
        <v>35625</v>
      </c>
      <c r="AX280" s="279"/>
      <c r="AY280" s="279">
        <v>3333</v>
      </c>
      <c r="AZ280" s="279">
        <v>4167</v>
      </c>
      <c r="BA280" s="279"/>
      <c r="BB280" s="279"/>
      <c r="BC280" s="293">
        <v>43125</v>
      </c>
      <c r="BD280" s="319"/>
      <c r="BE280" s="293"/>
      <c r="BF280" s="319"/>
      <c r="BG280" s="293"/>
      <c r="BH280" s="293"/>
      <c r="BI280" s="337">
        <v>198000</v>
      </c>
      <c r="BJ280" s="338">
        <v>43125</v>
      </c>
      <c r="BK280" s="126"/>
    </row>
    <row r="281" spans="1:63" ht="15.75">
      <c r="A281" s="380">
        <v>512034</v>
      </c>
      <c r="B281" s="346" t="s">
        <v>1244</v>
      </c>
      <c r="C281" s="124" t="s">
        <v>209</v>
      </c>
      <c r="D281" s="126">
        <v>210637</v>
      </c>
      <c r="E281" s="148" t="s">
        <v>1245</v>
      </c>
      <c r="F281" s="148" t="s">
        <v>1246</v>
      </c>
      <c r="G281" s="127" t="s">
        <v>82</v>
      </c>
      <c r="H281" s="149" t="s">
        <v>597</v>
      </c>
      <c r="I281" s="126" t="s">
        <v>598</v>
      </c>
      <c r="J281" s="126" t="s">
        <v>645</v>
      </c>
      <c r="K281" s="128" t="s">
        <v>666</v>
      </c>
      <c r="L281" s="121" t="s">
        <v>517</v>
      </c>
      <c r="M281" s="123" t="s">
        <v>1028</v>
      </c>
      <c r="N281" s="129">
        <v>44298</v>
      </c>
      <c r="O281" s="129">
        <v>44742</v>
      </c>
      <c r="P281" s="129">
        <v>44742</v>
      </c>
      <c r="Q281" s="330">
        <v>85024.83</v>
      </c>
      <c r="R281" s="324"/>
      <c r="S281" s="324">
        <v>10024.830000000002</v>
      </c>
      <c r="T281" s="324">
        <v>0</v>
      </c>
      <c r="U281" s="324">
        <v>0</v>
      </c>
      <c r="V281" s="324">
        <v>0</v>
      </c>
      <c r="W281" s="324">
        <v>0</v>
      </c>
      <c r="X281" s="324">
        <v>0</v>
      </c>
      <c r="Y281" s="312">
        <v>10024.83</v>
      </c>
      <c r="Z281" s="325">
        <v>10024.830000000002</v>
      </c>
      <c r="AA281" s="325">
        <v>0</v>
      </c>
      <c r="AB281" s="326"/>
      <c r="AC281" s="324">
        <v>75000</v>
      </c>
      <c r="AD281" s="324">
        <v>0</v>
      </c>
      <c r="AE281" s="324">
        <v>0</v>
      </c>
      <c r="AF281" s="324">
        <v>0</v>
      </c>
      <c r="AG281" s="324">
        <v>0</v>
      </c>
      <c r="AH281" s="324">
        <v>0</v>
      </c>
      <c r="AI281" s="312">
        <v>75000</v>
      </c>
      <c r="AJ281" s="327">
        <v>75000</v>
      </c>
      <c r="AK281" s="327">
        <v>0</v>
      </c>
      <c r="AL281" s="328"/>
      <c r="AM281" s="324"/>
      <c r="AN281" s="324"/>
      <c r="AO281" s="324"/>
      <c r="AP281" s="324"/>
      <c r="AQ281" s="324"/>
      <c r="AR281" s="279"/>
      <c r="AS281" s="293"/>
      <c r="AT281" s="327"/>
      <c r="AU281" s="327"/>
      <c r="AV281" s="328"/>
      <c r="AW281" s="324"/>
      <c r="AX281" s="324"/>
      <c r="AY281" s="324"/>
      <c r="AZ281" s="324"/>
      <c r="BA281" s="324"/>
      <c r="BB281" s="324"/>
      <c r="BC281" s="293"/>
      <c r="BD281" s="319"/>
      <c r="BE281" s="293"/>
      <c r="BF281" s="319"/>
      <c r="BG281" s="293"/>
      <c r="BH281" s="293"/>
      <c r="BI281" s="337">
        <v>85024.83</v>
      </c>
      <c r="BJ281" s="338">
        <v>0</v>
      </c>
      <c r="BK281" s="165"/>
    </row>
    <row r="282" spans="1:63" ht="15.75">
      <c r="A282" s="314">
        <v>501340</v>
      </c>
      <c r="B282" s="125" t="s">
        <v>1247</v>
      </c>
      <c r="C282" s="124" t="s">
        <v>1248</v>
      </c>
      <c r="D282" s="126">
        <v>210781</v>
      </c>
      <c r="E282" s="124" t="s">
        <v>1249</v>
      </c>
      <c r="F282" s="124" t="s">
        <v>1250</v>
      </c>
      <c r="G282" s="127" t="s">
        <v>46</v>
      </c>
      <c r="H282" s="126" t="s">
        <v>628</v>
      </c>
      <c r="I282" s="126" t="s">
        <v>598</v>
      </c>
      <c r="J282" s="126" t="s">
        <v>696</v>
      </c>
      <c r="K282" s="128" t="s">
        <v>882</v>
      </c>
      <c r="L282" s="121" t="s">
        <v>515</v>
      </c>
      <c r="M282" s="123" t="s">
        <v>698</v>
      </c>
      <c r="N282" s="129">
        <v>42614</v>
      </c>
      <c r="O282" s="129">
        <v>43708</v>
      </c>
      <c r="P282" s="129">
        <v>43921</v>
      </c>
      <c r="Q282" s="323">
        <v>225000</v>
      </c>
      <c r="R282" s="319"/>
      <c r="S282" s="324">
        <v>40000</v>
      </c>
      <c r="T282" s="324">
        <v>0</v>
      </c>
      <c r="U282" s="324">
        <v>35000</v>
      </c>
      <c r="V282" s="324"/>
      <c r="W282" s="324">
        <v>0</v>
      </c>
      <c r="X282" s="324">
        <v>0</v>
      </c>
      <c r="Y282" s="312">
        <v>75000</v>
      </c>
      <c r="Z282" s="325">
        <v>75000</v>
      </c>
      <c r="AA282" s="325">
        <v>0</v>
      </c>
      <c r="AB282" s="326"/>
      <c r="AC282" s="324">
        <v>40000</v>
      </c>
      <c r="AD282" s="324">
        <v>0</v>
      </c>
      <c r="AE282" s="324">
        <v>35000</v>
      </c>
      <c r="AF282" s="324">
        <v>0</v>
      </c>
      <c r="AG282" s="324">
        <v>0</v>
      </c>
      <c r="AH282" s="324"/>
      <c r="AI282" s="312">
        <v>75000</v>
      </c>
      <c r="AJ282" s="327">
        <v>75000</v>
      </c>
      <c r="AK282" s="327">
        <v>0</v>
      </c>
      <c r="AL282" s="328"/>
      <c r="AM282" s="279">
        <v>40000</v>
      </c>
      <c r="AN282" s="279">
        <v>0</v>
      </c>
      <c r="AO282" s="279">
        <v>35000</v>
      </c>
      <c r="AP282" s="279"/>
      <c r="AQ282" s="279">
        <v>0</v>
      </c>
      <c r="AR282" s="279">
        <v>0</v>
      </c>
      <c r="AS282" s="293">
        <v>75000</v>
      </c>
      <c r="AT282" s="327">
        <v>75000</v>
      </c>
      <c r="AU282" s="327">
        <v>0</v>
      </c>
      <c r="AV282" s="328"/>
      <c r="AW282" s="279"/>
      <c r="AX282" s="279"/>
      <c r="AY282" s="279"/>
      <c r="AZ282" s="279"/>
      <c r="BA282" s="279"/>
      <c r="BB282" s="279"/>
      <c r="BC282" s="293"/>
      <c r="BD282" s="319"/>
      <c r="BE282" s="293"/>
      <c r="BF282" s="319"/>
      <c r="BG282" s="293"/>
      <c r="BH282" s="293"/>
      <c r="BI282" s="337">
        <v>225000</v>
      </c>
      <c r="BJ282" s="338">
        <v>0</v>
      </c>
      <c r="BK282" s="126"/>
    </row>
    <row r="283" spans="1:63" ht="15.75">
      <c r="A283" s="314">
        <v>501348</v>
      </c>
      <c r="B283" s="125" t="s">
        <v>1251</v>
      </c>
      <c r="C283" s="124" t="s">
        <v>319</v>
      </c>
      <c r="D283" s="126">
        <v>211058</v>
      </c>
      <c r="E283" s="121" t="s">
        <v>1252</v>
      </c>
      <c r="F283" s="121" t="s">
        <v>1253</v>
      </c>
      <c r="G283" s="127" t="s">
        <v>46</v>
      </c>
      <c r="H283" s="126" t="s">
        <v>628</v>
      </c>
      <c r="I283" s="126" t="s">
        <v>598</v>
      </c>
      <c r="J283" s="126" t="s">
        <v>599</v>
      </c>
      <c r="K283" s="128" t="s">
        <v>600</v>
      </c>
      <c r="L283" s="124" t="s">
        <v>515</v>
      </c>
      <c r="M283" s="126" t="s">
        <v>934</v>
      </c>
      <c r="N283" s="129">
        <v>42614</v>
      </c>
      <c r="O283" s="129">
        <v>44773</v>
      </c>
      <c r="P283" s="129">
        <v>44334</v>
      </c>
      <c r="Q283" s="330">
        <v>171000</v>
      </c>
      <c r="R283" s="331"/>
      <c r="S283" s="324">
        <v>37000</v>
      </c>
      <c r="T283" s="324">
        <v>0</v>
      </c>
      <c r="U283" s="324">
        <v>20000</v>
      </c>
      <c r="V283" s="324"/>
      <c r="W283" s="324">
        <v>0</v>
      </c>
      <c r="X283" s="324">
        <v>0</v>
      </c>
      <c r="Y283" s="312">
        <v>57000</v>
      </c>
      <c r="Z283" s="325">
        <v>57000</v>
      </c>
      <c r="AA283" s="325">
        <v>0</v>
      </c>
      <c r="AB283" s="326"/>
      <c r="AC283" s="324">
        <v>37000</v>
      </c>
      <c r="AD283" s="324">
        <v>0</v>
      </c>
      <c r="AE283" s="324">
        <v>20000</v>
      </c>
      <c r="AF283" s="324"/>
      <c r="AG283" s="324">
        <v>0</v>
      </c>
      <c r="AH283" s="324"/>
      <c r="AI283" s="312">
        <v>57000</v>
      </c>
      <c r="AJ283" s="327">
        <v>57000</v>
      </c>
      <c r="AK283" s="327">
        <v>0</v>
      </c>
      <c r="AL283" s="328"/>
      <c r="AM283" s="279">
        <v>37000</v>
      </c>
      <c r="AN283" s="279">
        <v>0</v>
      </c>
      <c r="AO283" s="279">
        <v>20000</v>
      </c>
      <c r="AP283" s="279"/>
      <c r="AQ283" s="279">
        <v>0</v>
      </c>
      <c r="AR283" s="279">
        <v>0</v>
      </c>
      <c r="AS283" s="293">
        <v>57000</v>
      </c>
      <c r="AT283" s="327">
        <v>57000</v>
      </c>
      <c r="AU283" s="327">
        <v>0</v>
      </c>
      <c r="AV283" s="328"/>
      <c r="AW283" s="279"/>
      <c r="AX283" s="279"/>
      <c r="AY283" s="279"/>
      <c r="AZ283" s="279"/>
      <c r="BA283" s="279"/>
      <c r="BB283" s="279"/>
      <c r="BC283" s="293"/>
      <c r="BD283" s="319"/>
      <c r="BE283" s="293"/>
      <c r="BF283" s="319"/>
      <c r="BG283" s="293"/>
      <c r="BH283" s="293"/>
      <c r="BI283" s="337">
        <v>171000</v>
      </c>
      <c r="BJ283" s="338">
        <v>0</v>
      </c>
      <c r="BK283" s="280"/>
    </row>
    <row r="284" spans="1:63" ht="15.75">
      <c r="A284" s="314">
        <v>507778</v>
      </c>
      <c r="B284" s="125" t="s">
        <v>1251</v>
      </c>
      <c r="C284" s="124" t="s">
        <v>319</v>
      </c>
      <c r="D284" s="126">
        <v>211058</v>
      </c>
      <c r="E284" s="121" t="s">
        <v>1252</v>
      </c>
      <c r="F284" s="121" t="s">
        <v>1253</v>
      </c>
      <c r="G284" s="127" t="s">
        <v>46</v>
      </c>
      <c r="H284" s="126" t="s">
        <v>628</v>
      </c>
      <c r="I284" s="126" t="s">
        <v>598</v>
      </c>
      <c r="J284" s="126" t="s">
        <v>599</v>
      </c>
      <c r="K284" s="128" t="s">
        <v>600</v>
      </c>
      <c r="L284" s="121" t="s">
        <v>519</v>
      </c>
      <c r="M284" s="126" t="s">
        <v>965</v>
      </c>
      <c r="N284" s="129">
        <v>43709</v>
      </c>
      <c r="O284" s="129">
        <v>44895</v>
      </c>
      <c r="P284" s="129">
        <v>44895</v>
      </c>
      <c r="Q284" s="323">
        <v>174563</v>
      </c>
      <c r="R284" s="319"/>
      <c r="S284" s="324">
        <v>59375</v>
      </c>
      <c r="T284" s="324">
        <v>0</v>
      </c>
      <c r="U284" s="324">
        <v>18500</v>
      </c>
      <c r="V284" s="324">
        <v>0</v>
      </c>
      <c r="W284" s="324">
        <v>10000</v>
      </c>
      <c r="X284" s="324">
        <v>0</v>
      </c>
      <c r="Y284" s="312">
        <v>87875</v>
      </c>
      <c r="Z284" s="325">
        <v>87875</v>
      </c>
      <c r="AA284" s="325">
        <v>0</v>
      </c>
      <c r="AB284" s="326"/>
      <c r="AC284" s="324">
        <v>47500</v>
      </c>
      <c r="AD284" s="324">
        <v>0</v>
      </c>
      <c r="AE284" s="324">
        <v>18500</v>
      </c>
      <c r="AF284" s="324">
        <v>0</v>
      </c>
      <c r="AG284" s="324">
        <v>10000</v>
      </c>
      <c r="AH284" s="324">
        <v>0</v>
      </c>
      <c r="AI284" s="312">
        <v>76000</v>
      </c>
      <c r="AJ284" s="327">
        <v>76000</v>
      </c>
      <c r="AK284" s="327">
        <v>0</v>
      </c>
      <c r="AL284" s="328"/>
      <c r="AM284" s="324">
        <v>5938</v>
      </c>
      <c r="AN284" s="324">
        <v>0</v>
      </c>
      <c r="AO284" s="324">
        <v>3083</v>
      </c>
      <c r="AP284" s="324">
        <v>0</v>
      </c>
      <c r="AQ284" s="324">
        <v>1667</v>
      </c>
      <c r="AR284" s="324">
        <v>0</v>
      </c>
      <c r="AS284" s="293">
        <v>10688</v>
      </c>
      <c r="AT284" s="327">
        <v>10688</v>
      </c>
      <c r="AU284" s="327">
        <v>0</v>
      </c>
      <c r="AV284" s="328"/>
      <c r="AW284" s="279">
        <v>29688</v>
      </c>
      <c r="AX284" s="279"/>
      <c r="AY284" s="279">
        <v>15417</v>
      </c>
      <c r="AZ284" s="279">
        <v>8333</v>
      </c>
      <c r="BA284" s="279"/>
      <c r="BB284" s="279"/>
      <c r="BC284" s="293">
        <v>53438</v>
      </c>
      <c r="BD284" s="319"/>
      <c r="BE284" s="293"/>
      <c r="BF284" s="319"/>
      <c r="BG284" s="293"/>
      <c r="BH284" s="293"/>
      <c r="BI284" s="337">
        <v>228001</v>
      </c>
      <c r="BJ284" s="338">
        <v>53438</v>
      </c>
      <c r="BK284" s="280"/>
    </row>
    <row r="285" spans="1:63" ht="15.75">
      <c r="A285" s="314">
        <v>508292</v>
      </c>
      <c r="B285" s="125" t="s">
        <v>1251</v>
      </c>
      <c r="C285" s="124" t="s">
        <v>319</v>
      </c>
      <c r="D285" s="126">
        <v>211058</v>
      </c>
      <c r="E285" s="121" t="s">
        <v>1252</v>
      </c>
      <c r="F285" s="121" t="s">
        <v>1253</v>
      </c>
      <c r="G285" s="127" t="s">
        <v>46</v>
      </c>
      <c r="H285" s="126" t="s">
        <v>597</v>
      </c>
      <c r="I285" s="126" t="s">
        <v>598</v>
      </c>
      <c r="J285" s="126" t="s">
        <v>599</v>
      </c>
      <c r="K285" s="128" t="s">
        <v>600</v>
      </c>
      <c r="L285" s="121" t="s">
        <v>519</v>
      </c>
      <c r="M285" s="126" t="s">
        <v>1254</v>
      </c>
      <c r="N285" s="129">
        <v>43709</v>
      </c>
      <c r="O285" s="129">
        <v>44895</v>
      </c>
      <c r="P285" s="129">
        <v>44895</v>
      </c>
      <c r="Q285" s="323">
        <v>300000</v>
      </c>
      <c r="R285" s="319"/>
      <c r="S285" s="324">
        <v>93750</v>
      </c>
      <c r="T285" s="324">
        <v>0</v>
      </c>
      <c r="U285" s="324">
        <v>25000</v>
      </c>
      <c r="V285" s="324"/>
      <c r="W285" s="324">
        <v>0</v>
      </c>
      <c r="X285" s="324">
        <v>0</v>
      </c>
      <c r="Y285" s="312">
        <v>118750</v>
      </c>
      <c r="Z285" s="325">
        <v>118750</v>
      </c>
      <c r="AA285" s="325">
        <v>0</v>
      </c>
      <c r="AB285" s="326"/>
      <c r="AC285" s="324">
        <v>75000</v>
      </c>
      <c r="AD285" s="324">
        <v>0</v>
      </c>
      <c r="AE285" s="324">
        <v>25000</v>
      </c>
      <c r="AF285" s="324"/>
      <c r="AG285" s="324">
        <v>0</v>
      </c>
      <c r="AH285" s="324">
        <v>0</v>
      </c>
      <c r="AI285" s="312">
        <v>100000</v>
      </c>
      <c r="AJ285" s="327">
        <v>100000</v>
      </c>
      <c r="AK285" s="327">
        <v>0</v>
      </c>
      <c r="AL285" s="328"/>
      <c r="AM285" s="324">
        <v>56250</v>
      </c>
      <c r="AN285" s="324">
        <v>0</v>
      </c>
      <c r="AO285" s="324">
        <v>25000</v>
      </c>
      <c r="AP285" s="324">
        <v>0</v>
      </c>
      <c r="AQ285" s="324">
        <v>0</v>
      </c>
      <c r="AR285" s="324">
        <v>0</v>
      </c>
      <c r="AS285" s="293">
        <v>81250</v>
      </c>
      <c r="AT285" s="327">
        <v>81250</v>
      </c>
      <c r="AU285" s="327">
        <v>0</v>
      </c>
      <c r="AV285" s="328"/>
      <c r="AW285" s="279"/>
      <c r="AX285" s="279"/>
      <c r="AY285" s="279"/>
      <c r="AZ285" s="279"/>
      <c r="BA285" s="279"/>
      <c r="BB285" s="279"/>
      <c r="BC285" s="293"/>
      <c r="BD285" s="319"/>
      <c r="BE285" s="293"/>
      <c r="BF285" s="319"/>
      <c r="BG285" s="293"/>
      <c r="BH285" s="293"/>
      <c r="BI285" s="337">
        <v>300000</v>
      </c>
      <c r="BJ285" s="338">
        <v>0</v>
      </c>
      <c r="BK285" s="280"/>
    </row>
    <row r="286" spans="1:63" ht="15.75">
      <c r="A286" s="314">
        <v>501336</v>
      </c>
      <c r="B286" s="125" t="s">
        <v>1255</v>
      </c>
      <c r="C286" s="124" t="s">
        <v>290</v>
      </c>
      <c r="D286" s="126">
        <v>211063</v>
      </c>
      <c r="E286" s="124" t="s">
        <v>1256</v>
      </c>
      <c r="F286" s="124" t="s">
        <v>1257</v>
      </c>
      <c r="G286" s="127" t="s">
        <v>68</v>
      </c>
      <c r="H286" s="126" t="s">
        <v>628</v>
      </c>
      <c r="I286" s="126" t="s">
        <v>598</v>
      </c>
      <c r="J286" s="126" t="s">
        <v>650</v>
      </c>
      <c r="K286" s="128" t="s">
        <v>651</v>
      </c>
      <c r="L286" s="121" t="s">
        <v>515</v>
      </c>
      <c r="M286" s="123" t="s">
        <v>712</v>
      </c>
      <c r="N286" s="129">
        <v>42614</v>
      </c>
      <c r="O286" s="129">
        <v>43708</v>
      </c>
      <c r="P286" s="129">
        <v>44145</v>
      </c>
      <c r="Q286" s="323">
        <v>345000</v>
      </c>
      <c r="R286" s="319"/>
      <c r="S286" s="324">
        <v>77175</v>
      </c>
      <c r="T286" s="324">
        <v>0</v>
      </c>
      <c r="U286" s="324">
        <v>32825</v>
      </c>
      <c r="V286" s="324"/>
      <c r="W286" s="324">
        <v>5000</v>
      </c>
      <c r="X286" s="324">
        <v>0</v>
      </c>
      <c r="Y286" s="312">
        <v>115000</v>
      </c>
      <c r="Z286" s="325">
        <v>115000</v>
      </c>
      <c r="AA286" s="325">
        <v>0</v>
      </c>
      <c r="AB286" s="326"/>
      <c r="AC286" s="324">
        <v>77175</v>
      </c>
      <c r="AD286" s="324">
        <v>0</v>
      </c>
      <c r="AE286" s="324">
        <v>32825</v>
      </c>
      <c r="AF286" s="324">
        <v>5000</v>
      </c>
      <c r="AG286" s="324">
        <v>0</v>
      </c>
      <c r="AH286" s="324"/>
      <c r="AI286" s="312">
        <v>115000</v>
      </c>
      <c r="AJ286" s="327">
        <v>115000</v>
      </c>
      <c r="AK286" s="327">
        <v>0</v>
      </c>
      <c r="AL286" s="328"/>
      <c r="AM286" s="279">
        <v>77175</v>
      </c>
      <c r="AN286" s="279">
        <v>0</v>
      </c>
      <c r="AO286" s="279">
        <v>32825</v>
      </c>
      <c r="AP286" s="279"/>
      <c r="AQ286" s="279">
        <v>5000</v>
      </c>
      <c r="AR286" s="279">
        <v>0</v>
      </c>
      <c r="AS286" s="293">
        <v>115000</v>
      </c>
      <c r="AT286" s="327">
        <v>115000</v>
      </c>
      <c r="AU286" s="327">
        <v>0</v>
      </c>
      <c r="AV286" s="328"/>
      <c r="AW286" s="279"/>
      <c r="AX286" s="279"/>
      <c r="AY286" s="279"/>
      <c r="AZ286" s="279"/>
      <c r="BA286" s="279"/>
      <c r="BB286" s="279"/>
      <c r="BC286" s="293"/>
      <c r="BD286" s="319"/>
      <c r="BE286" s="293"/>
      <c r="BF286" s="319"/>
      <c r="BG286" s="293"/>
      <c r="BH286" s="293"/>
      <c r="BI286" s="337">
        <v>345000</v>
      </c>
      <c r="BJ286" s="338">
        <v>0</v>
      </c>
      <c r="BK286" s="126"/>
    </row>
    <row r="287" spans="1:63" ht="15.75">
      <c r="A287" s="314">
        <v>507693</v>
      </c>
      <c r="B287" s="125" t="s">
        <v>1255</v>
      </c>
      <c r="C287" s="124" t="s">
        <v>290</v>
      </c>
      <c r="D287" s="126">
        <v>211063</v>
      </c>
      <c r="E287" s="124" t="s">
        <v>1256</v>
      </c>
      <c r="F287" s="124" t="s">
        <v>1257</v>
      </c>
      <c r="G287" s="127" t="s">
        <v>68</v>
      </c>
      <c r="H287" s="126" t="s">
        <v>628</v>
      </c>
      <c r="I287" s="126" t="s">
        <v>598</v>
      </c>
      <c r="J287" s="126" t="s">
        <v>650</v>
      </c>
      <c r="K287" s="128" t="s">
        <v>651</v>
      </c>
      <c r="L287" s="121" t="s">
        <v>519</v>
      </c>
      <c r="M287" s="123" t="s">
        <v>717</v>
      </c>
      <c r="N287" s="129">
        <v>43709</v>
      </c>
      <c r="O287" s="129">
        <v>44895</v>
      </c>
      <c r="P287" s="129">
        <v>44895</v>
      </c>
      <c r="Q287" s="323">
        <v>100350</v>
      </c>
      <c r="R287" s="319"/>
      <c r="S287" s="324">
        <v>20000</v>
      </c>
      <c r="T287" s="324"/>
      <c r="U287" s="324">
        <v>13450</v>
      </c>
      <c r="V287" s="324"/>
      <c r="W287" s="324"/>
      <c r="X287" s="324"/>
      <c r="Y287" s="312">
        <v>33450</v>
      </c>
      <c r="Z287" s="325">
        <v>33450</v>
      </c>
      <c r="AA287" s="325">
        <v>0</v>
      </c>
      <c r="AB287" s="326"/>
      <c r="AC287" s="324">
        <v>20000</v>
      </c>
      <c r="AD287" s="324"/>
      <c r="AE287" s="324">
        <v>13450</v>
      </c>
      <c r="AF287" s="324"/>
      <c r="AG287" s="324"/>
      <c r="AH287" s="324"/>
      <c r="AI287" s="312">
        <v>33450</v>
      </c>
      <c r="AJ287" s="327">
        <v>33450</v>
      </c>
      <c r="AK287" s="327">
        <v>0</v>
      </c>
      <c r="AL287" s="328"/>
      <c r="AM287" s="324">
        <v>20000</v>
      </c>
      <c r="AN287" s="324"/>
      <c r="AO287" s="324">
        <v>13450</v>
      </c>
      <c r="AP287" s="324"/>
      <c r="AQ287" s="324"/>
      <c r="AR287" s="324"/>
      <c r="AS287" s="293">
        <v>33450</v>
      </c>
      <c r="AT287" s="327">
        <v>33450</v>
      </c>
      <c r="AU287" s="327">
        <v>0</v>
      </c>
      <c r="AV287" s="328"/>
      <c r="AW287" s="279"/>
      <c r="AX287" s="279"/>
      <c r="AY287" s="279"/>
      <c r="AZ287" s="279"/>
      <c r="BA287" s="279"/>
      <c r="BB287" s="279"/>
      <c r="BC287" s="293"/>
      <c r="BD287" s="319"/>
      <c r="BE287" s="293"/>
      <c r="BF287" s="319"/>
      <c r="BG287" s="293"/>
      <c r="BH287" s="293"/>
      <c r="BI287" s="337">
        <v>100350</v>
      </c>
      <c r="BJ287" s="338">
        <v>0</v>
      </c>
      <c r="BK287" s="126"/>
    </row>
    <row r="288" spans="1:63" ht="15.75">
      <c r="A288" s="314">
        <v>500003</v>
      </c>
      <c r="B288" s="125" t="s">
        <v>1258</v>
      </c>
      <c r="C288" s="124" t="s">
        <v>286</v>
      </c>
      <c r="D288" s="126">
        <v>211134</v>
      </c>
      <c r="E288" s="124" t="s">
        <v>1259</v>
      </c>
      <c r="F288" s="124" t="s">
        <v>1260</v>
      </c>
      <c r="G288" s="127" t="s">
        <v>46</v>
      </c>
      <c r="H288" s="126" t="s">
        <v>597</v>
      </c>
      <c r="I288" s="126" t="s">
        <v>598</v>
      </c>
      <c r="J288" s="126" t="s">
        <v>888</v>
      </c>
      <c r="K288" s="128" t="s">
        <v>731</v>
      </c>
      <c r="L288" s="121" t="s">
        <v>637</v>
      </c>
      <c r="M288" s="123" t="s">
        <v>638</v>
      </c>
      <c r="N288" s="129">
        <v>42248</v>
      </c>
      <c r="O288" s="129">
        <v>42643</v>
      </c>
      <c r="P288" s="129">
        <v>42668</v>
      </c>
      <c r="Q288" s="323">
        <v>100000</v>
      </c>
      <c r="R288" s="324">
        <v>100000</v>
      </c>
      <c r="S288" s="324"/>
      <c r="T288" s="324">
        <v>0</v>
      </c>
      <c r="U288" s="324">
        <v>0</v>
      </c>
      <c r="V288" s="324"/>
      <c r="W288" s="324">
        <v>0</v>
      </c>
      <c r="X288" s="324">
        <v>0</v>
      </c>
      <c r="Y288" s="312">
        <v>100000</v>
      </c>
      <c r="Z288" s="325">
        <v>100000</v>
      </c>
      <c r="AA288" s="325">
        <v>0</v>
      </c>
      <c r="AB288" s="326"/>
      <c r="AC288" s="324" t="s">
        <v>602</v>
      </c>
      <c r="AD288" s="324" t="s">
        <v>602</v>
      </c>
      <c r="AE288" s="324" t="s">
        <v>602</v>
      </c>
      <c r="AF288" s="324" t="s">
        <v>602</v>
      </c>
      <c r="AG288" s="324" t="s">
        <v>602</v>
      </c>
      <c r="AH288" s="324"/>
      <c r="AI288" s="312">
        <v>0</v>
      </c>
      <c r="AJ288" s="327">
        <v>0</v>
      </c>
      <c r="AK288" s="327">
        <v>0</v>
      </c>
      <c r="AL288" s="328"/>
      <c r="AM288" s="324" t="s">
        <v>602</v>
      </c>
      <c r="AN288" s="324" t="s">
        <v>602</v>
      </c>
      <c r="AO288" s="324" t="s">
        <v>602</v>
      </c>
      <c r="AP288" s="324" t="s">
        <v>602</v>
      </c>
      <c r="AQ288" s="324" t="s">
        <v>602</v>
      </c>
      <c r="AR288" s="279" t="s">
        <v>602</v>
      </c>
      <c r="AS288" s="293">
        <v>0</v>
      </c>
      <c r="AT288" s="327">
        <v>0</v>
      </c>
      <c r="AU288" s="327">
        <v>0</v>
      </c>
      <c r="AV288" s="328"/>
      <c r="AW288" s="324" t="s">
        <v>602</v>
      </c>
      <c r="AX288" s="324" t="s">
        <v>602</v>
      </c>
      <c r="AY288" s="324" t="s">
        <v>602</v>
      </c>
      <c r="AZ288" s="324" t="s">
        <v>602</v>
      </c>
      <c r="BA288" s="324"/>
      <c r="BB288" s="324" t="s">
        <v>602</v>
      </c>
      <c r="BC288" s="293"/>
      <c r="BD288" s="319"/>
      <c r="BE288" s="293"/>
      <c r="BF288" s="319"/>
      <c r="BG288" s="293"/>
      <c r="BH288" s="293"/>
      <c r="BI288" s="337">
        <v>100000</v>
      </c>
      <c r="BJ288" s="338">
        <v>0</v>
      </c>
      <c r="BK288" s="126"/>
    </row>
    <row r="289" spans="1:63" ht="15.75">
      <c r="A289" s="314">
        <v>501333</v>
      </c>
      <c r="B289" s="125" t="s">
        <v>1258</v>
      </c>
      <c r="C289" s="124" t="s">
        <v>286</v>
      </c>
      <c r="D289" s="126">
        <v>211134</v>
      </c>
      <c r="E289" s="124" t="s">
        <v>1259</v>
      </c>
      <c r="F289" s="124" t="s">
        <v>1260</v>
      </c>
      <c r="G289" s="127" t="s">
        <v>46</v>
      </c>
      <c r="H289" s="126" t="s">
        <v>628</v>
      </c>
      <c r="I289" s="126" t="s">
        <v>598</v>
      </c>
      <c r="J289" s="126" t="s">
        <v>888</v>
      </c>
      <c r="K289" s="128" t="s">
        <v>731</v>
      </c>
      <c r="L289" s="121" t="s">
        <v>515</v>
      </c>
      <c r="M289" s="123" t="s">
        <v>797</v>
      </c>
      <c r="N289" s="129">
        <v>42614</v>
      </c>
      <c r="O289" s="129">
        <v>43830</v>
      </c>
      <c r="P289" s="129">
        <v>44144</v>
      </c>
      <c r="Q289" s="323">
        <v>250000</v>
      </c>
      <c r="R289" s="319"/>
      <c r="S289" s="324">
        <v>44600</v>
      </c>
      <c r="T289" s="324">
        <v>0</v>
      </c>
      <c r="U289" s="324">
        <v>30400</v>
      </c>
      <c r="V289" s="324"/>
      <c r="W289" s="324">
        <v>25000</v>
      </c>
      <c r="X289" s="324">
        <v>0</v>
      </c>
      <c r="Y289" s="312">
        <v>100000</v>
      </c>
      <c r="Z289" s="325">
        <v>100000</v>
      </c>
      <c r="AA289" s="325">
        <v>0</v>
      </c>
      <c r="AB289" s="326"/>
      <c r="AC289" s="324">
        <v>44600</v>
      </c>
      <c r="AD289" s="324">
        <v>0</v>
      </c>
      <c r="AE289" s="324">
        <v>30400</v>
      </c>
      <c r="AF289" s="324">
        <v>0</v>
      </c>
      <c r="AG289" s="324">
        <v>0</v>
      </c>
      <c r="AH289" s="324"/>
      <c r="AI289" s="312">
        <v>75000</v>
      </c>
      <c r="AJ289" s="327">
        <v>75000</v>
      </c>
      <c r="AK289" s="327">
        <v>0</v>
      </c>
      <c r="AL289" s="328"/>
      <c r="AM289" s="279">
        <v>44600</v>
      </c>
      <c r="AN289" s="279">
        <v>0</v>
      </c>
      <c r="AO289" s="279">
        <v>30400</v>
      </c>
      <c r="AP289" s="279"/>
      <c r="AQ289" s="279">
        <v>0</v>
      </c>
      <c r="AR289" s="279">
        <v>0</v>
      </c>
      <c r="AS289" s="293">
        <v>75000</v>
      </c>
      <c r="AT289" s="327">
        <v>75000</v>
      </c>
      <c r="AU289" s="327">
        <v>0</v>
      </c>
      <c r="AV289" s="328"/>
      <c r="AW289" s="279"/>
      <c r="AX289" s="279"/>
      <c r="AY289" s="279"/>
      <c r="AZ289" s="279"/>
      <c r="BA289" s="279"/>
      <c r="BB289" s="279"/>
      <c r="BC289" s="293"/>
      <c r="BD289" s="319"/>
      <c r="BE289" s="293"/>
      <c r="BF289" s="319"/>
      <c r="BG289" s="293"/>
      <c r="BH289" s="293"/>
      <c r="BI289" s="337">
        <v>250000</v>
      </c>
      <c r="BJ289" s="338">
        <v>0</v>
      </c>
      <c r="BK289" s="126"/>
    </row>
    <row r="290" spans="1:63" ht="15.75">
      <c r="A290" s="314">
        <v>501343</v>
      </c>
      <c r="B290" s="125" t="s">
        <v>1258</v>
      </c>
      <c r="C290" s="124" t="s">
        <v>286</v>
      </c>
      <c r="D290" s="126">
        <v>211134</v>
      </c>
      <c r="E290" s="124" t="s">
        <v>1259</v>
      </c>
      <c r="F290" s="124" t="s">
        <v>1260</v>
      </c>
      <c r="G290" s="127" t="s">
        <v>46</v>
      </c>
      <c r="H290" s="126" t="s">
        <v>628</v>
      </c>
      <c r="I290" s="126" t="s">
        <v>598</v>
      </c>
      <c r="J290" s="126" t="s">
        <v>888</v>
      </c>
      <c r="K290" s="128" t="s">
        <v>731</v>
      </c>
      <c r="L290" s="121" t="s">
        <v>515</v>
      </c>
      <c r="M290" s="123" t="s">
        <v>1054</v>
      </c>
      <c r="N290" s="129">
        <v>42614</v>
      </c>
      <c r="O290" s="129">
        <v>43708</v>
      </c>
      <c r="P290" s="129">
        <v>43708</v>
      </c>
      <c r="Q290" s="323">
        <v>39000</v>
      </c>
      <c r="R290" s="319"/>
      <c r="S290" s="324">
        <v>0</v>
      </c>
      <c r="T290" s="324">
        <v>0</v>
      </c>
      <c r="U290" s="324">
        <v>13000</v>
      </c>
      <c r="V290" s="324"/>
      <c r="W290" s="324">
        <v>0</v>
      </c>
      <c r="X290" s="324">
        <v>0</v>
      </c>
      <c r="Y290" s="312">
        <v>13000</v>
      </c>
      <c r="Z290" s="325">
        <v>13000</v>
      </c>
      <c r="AA290" s="325">
        <v>0</v>
      </c>
      <c r="AB290" s="326"/>
      <c r="AC290" s="324">
        <v>0</v>
      </c>
      <c r="AD290" s="324">
        <v>0</v>
      </c>
      <c r="AE290" s="324">
        <v>13000</v>
      </c>
      <c r="AF290" s="324">
        <v>0</v>
      </c>
      <c r="AG290" s="324">
        <v>0</v>
      </c>
      <c r="AH290" s="324"/>
      <c r="AI290" s="312">
        <v>13000</v>
      </c>
      <c r="AJ290" s="327">
        <v>13000</v>
      </c>
      <c r="AK290" s="327">
        <v>0</v>
      </c>
      <c r="AL290" s="328"/>
      <c r="AM290" s="279"/>
      <c r="AN290" s="279"/>
      <c r="AO290" s="279">
        <v>13000</v>
      </c>
      <c r="AP290" s="279"/>
      <c r="AQ290" s="279"/>
      <c r="AR290" s="279">
        <v>0</v>
      </c>
      <c r="AS290" s="293">
        <v>13000</v>
      </c>
      <c r="AT290" s="327">
        <v>13000</v>
      </c>
      <c r="AU290" s="327">
        <v>0</v>
      </c>
      <c r="AV290" s="328"/>
      <c r="AW290" s="279"/>
      <c r="AX290" s="279"/>
      <c r="AY290" s="279"/>
      <c r="AZ290" s="279"/>
      <c r="BA290" s="279"/>
      <c r="BB290" s="279"/>
      <c r="BC290" s="293"/>
      <c r="BD290" s="319"/>
      <c r="BE290" s="293"/>
      <c r="BF290" s="319"/>
      <c r="BG290" s="293"/>
      <c r="BH290" s="293"/>
      <c r="BI290" s="337">
        <v>39000</v>
      </c>
      <c r="BJ290" s="338">
        <v>0</v>
      </c>
      <c r="BK290" s="126"/>
    </row>
    <row r="291" spans="1:63" ht="15.75">
      <c r="A291" s="314">
        <v>501345</v>
      </c>
      <c r="B291" s="125" t="s">
        <v>1258</v>
      </c>
      <c r="C291" s="124" t="s">
        <v>286</v>
      </c>
      <c r="D291" s="126">
        <v>211134</v>
      </c>
      <c r="E291" s="124" t="s">
        <v>1259</v>
      </c>
      <c r="F291" s="124" t="s">
        <v>1260</v>
      </c>
      <c r="G291" s="127" t="s">
        <v>46</v>
      </c>
      <c r="H291" s="126" t="s">
        <v>628</v>
      </c>
      <c r="I291" s="126" t="s">
        <v>598</v>
      </c>
      <c r="J291" s="126" t="s">
        <v>888</v>
      </c>
      <c r="K291" s="128" t="s">
        <v>731</v>
      </c>
      <c r="L291" s="121" t="s">
        <v>515</v>
      </c>
      <c r="M291" s="123" t="s">
        <v>714</v>
      </c>
      <c r="N291" s="129">
        <v>42614</v>
      </c>
      <c r="O291" s="129">
        <v>43890</v>
      </c>
      <c r="P291" s="129">
        <v>44145</v>
      </c>
      <c r="Q291" s="323">
        <v>437886</v>
      </c>
      <c r="R291" s="319"/>
      <c r="S291" s="324">
        <v>80600</v>
      </c>
      <c r="T291" s="324">
        <v>0</v>
      </c>
      <c r="U291" s="324">
        <v>59400</v>
      </c>
      <c r="V291" s="324"/>
      <c r="W291" s="324">
        <v>11530</v>
      </c>
      <c r="X291" s="324">
        <v>0</v>
      </c>
      <c r="Y291" s="312">
        <v>151530</v>
      </c>
      <c r="Z291" s="325">
        <v>151530</v>
      </c>
      <c r="AA291" s="325">
        <v>0</v>
      </c>
      <c r="AB291" s="326"/>
      <c r="AC291" s="324">
        <v>80600</v>
      </c>
      <c r="AD291" s="324">
        <v>0</v>
      </c>
      <c r="AE291" s="324">
        <v>51400</v>
      </c>
      <c r="AF291" s="324">
        <v>11178</v>
      </c>
      <c r="AG291" s="324">
        <v>0</v>
      </c>
      <c r="AH291" s="324"/>
      <c r="AI291" s="312">
        <v>143178</v>
      </c>
      <c r="AJ291" s="327">
        <v>143178</v>
      </c>
      <c r="AK291" s="327">
        <v>0</v>
      </c>
      <c r="AL291" s="328"/>
      <c r="AM291" s="279">
        <v>80600</v>
      </c>
      <c r="AN291" s="279">
        <v>0</v>
      </c>
      <c r="AO291" s="279">
        <v>51400</v>
      </c>
      <c r="AP291" s="279"/>
      <c r="AQ291" s="279">
        <v>11178</v>
      </c>
      <c r="AR291" s="279">
        <v>0</v>
      </c>
      <c r="AS291" s="293">
        <v>143178</v>
      </c>
      <c r="AT291" s="327">
        <v>143178</v>
      </c>
      <c r="AU291" s="327">
        <v>0</v>
      </c>
      <c r="AV291" s="328"/>
      <c r="AW291" s="279"/>
      <c r="AX291" s="279"/>
      <c r="AY291" s="279"/>
      <c r="AZ291" s="279"/>
      <c r="BA291" s="279"/>
      <c r="BB291" s="279"/>
      <c r="BC291" s="293"/>
      <c r="BD291" s="319"/>
      <c r="BE291" s="293"/>
      <c r="BF291" s="319"/>
      <c r="BG291" s="293"/>
      <c r="BH291" s="293"/>
      <c r="BI291" s="337">
        <v>437886</v>
      </c>
      <c r="BJ291" s="338">
        <v>0</v>
      </c>
      <c r="BK291" s="126"/>
    </row>
    <row r="292" spans="1:63" ht="15.75">
      <c r="A292" s="314">
        <v>501349</v>
      </c>
      <c r="B292" s="125" t="s">
        <v>1258</v>
      </c>
      <c r="C292" s="124" t="s">
        <v>286</v>
      </c>
      <c r="D292" s="126">
        <v>211134</v>
      </c>
      <c r="E292" s="124" t="s">
        <v>1259</v>
      </c>
      <c r="F292" s="124" t="s">
        <v>1260</v>
      </c>
      <c r="G292" s="127" t="s">
        <v>46</v>
      </c>
      <c r="H292" s="126" t="s">
        <v>628</v>
      </c>
      <c r="I292" s="126" t="s">
        <v>598</v>
      </c>
      <c r="J292" s="126" t="s">
        <v>888</v>
      </c>
      <c r="K292" s="128" t="s">
        <v>731</v>
      </c>
      <c r="L292" s="121" t="s">
        <v>515</v>
      </c>
      <c r="M292" s="123" t="s">
        <v>640</v>
      </c>
      <c r="N292" s="129">
        <v>42614</v>
      </c>
      <c r="O292" s="129">
        <v>43708</v>
      </c>
      <c r="P292" s="129">
        <v>43708</v>
      </c>
      <c r="Q292" s="323">
        <v>46200</v>
      </c>
      <c r="R292" s="319"/>
      <c r="S292" s="324">
        <v>0</v>
      </c>
      <c r="T292" s="324">
        <v>0</v>
      </c>
      <c r="U292" s="324">
        <v>15400</v>
      </c>
      <c r="V292" s="324"/>
      <c r="W292" s="324">
        <v>0</v>
      </c>
      <c r="X292" s="324">
        <v>0</v>
      </c>
      <c r="Y292" s="312">
        <v>15400</v>
      </c>
      <c r="Z292" s="325">
        <v>15400</v>
      </c>
      <c r="AA292" s="325">
        <v>0</v>
      </c>
      <c r="AB292" s="326"/>
      <c r="AC292" s="324">
        <v>0</v>
      </c>
      <c r="AD292" s="324">
        <v>0</v>
      </c>
      <c r="AE292" s="324">
        <v>15400</v>
      </c>
      <c r="AF292" s="324">
        <v>0</v>
      </c>
      <c r="AG292" s="324">
        <v>0</v>
      </c>
      <c r="AH292" s="324"/>
      <c r="AI292" s="312">
        <v>15400</v>
      </c>
      <c r="AJ292" s="327">
        <v>15400</v>
      </c>
      <c r="AK292" s="327">
        <v>0</v>
      </c>
      <c r="AL292" s="328"/>
      <c r="AM292" s="279">
        <v>0</v>
      </c>
      <c r="AN292" s="279">
        <v>0</v>
      </c>
      <c r="AO292" s="279">
        <v>15400</v>
      </c>
      <c r="AP292" s="279"/>
      <c r="AQ292" s="279" t="s">
        <v>602</v>
      </c>
      <c r="AR292" s="279" t="s">
        <v>602</v>
      </c>
      <c r="AS292" s="293">
        <v>15400</v>
      </c>
      <c r="AT292" s="327">
        <v>15400</v>
      </c>
      <c r="AU292" s="327">
        <v>0</v>
      </c>
      <c r="AV292" s="328"/>
      <c r="AW292" s="279"/>
      <c r="AX292" s="279"/>
      <c r="AY292" s="279"/>
      <c r="AZ292" s="279"/>
      <c r="BA292" s="279"/>
      <c r="BB292" s="279"/>
      <c r="BC292" s="293"/>
      <c r="BD292" s="319"/>
      <c r="BE292" s="293"/>
      <c r="BF292" s="319"/>
      <c r="BG292" s="293"/>
      <c r="BH292" s="293"/>
      <c r="BI292" s="337">
        <v>46200</v>
      </c>
      <c r="BJ292" s="338">
        <v>0</v>
      </c>
      <c r="BK292" s="126"/>
    </row>
    <row r="293" spans="1:63" ht="15.75">
      <c r="A293" s="314">
        <v>507643</v>
      </c>
      <c r="B293" s="125" t="s">
        <v>1258</v>
      </c>
      <c r="C293" s="124" t="s">
        <v>286</v>
      </c>
      <c r="D293" s="126">
        <v>211134</v>
      </c>
      <c r="E293" s="124" t="s">
        <v>1259</v>
      </c>
      <c r="F293" s="124" t="s">
        <v>1260</v>
      </c>
      <c r="G293" s="127" t="s">
        <v>46</v>
      </c>
      <c r="H293" s="126" t="s">
        <v>628</v>
      </c>
      <c r="I293" s="126" t="s">
        <v>598</v>
      </c>
      <c r="J293" s="126" t="s">
        <v>888</v>
      </c>
      <c r="K293" s="128" t="s">
        <v>731</v>
      </c>
      <c r="L293" s="121" t="s">
        <v>519</v>
      </c>
      <c r="M293" s="123" t="s">
        <v>716</v>
      </c>
      <c r="N293" s="129">
        <v>43709</v>
      </c>
      <c r="O293" s="129">
        <v>44592</v>
      </c>
      <c r="P293" s="129">
        <v>44592</v>
      </c>
      <c r="Q293" s="323">
        <v>173333</v>
      </c>
      <c r="R293" s="319"/>
      <c r="S293" s="324">
        <v>40000</v>
      </c>
      <c r="T293" s="324"/>
      <c r="U293" s="324">
        <v>20000</v>
      </c>
      <c r="V293" s="324"/>
      <c r="W293" s="324">
        <v>20000</v>
      </c>
      <c r="X293" s="324"/>
      <c r="Y293" s="312">
        <v>80000</v>
      </c>
      <c r="Z293" s="325">
        <v>80000</v>
      </c>
      <c r="AA293" s="325">
        <v>0</v>
      </c>
      <c r="AB293" s="326"/>
      <c r="AC293" s="324">
        <v>40000</v>
      </c>
      <c r="AD293" s="324"/>
      <c r="AE293" s="324">
        <v>20000</v>
      </c>
      <c r="AF293" s="324"/>
      <c r="AG293" s="324">
        <v>20000</v>
      </c>
      <c r="AH293" s="324"/>
      <c r="AI293" s="312">
        <v>80000</v>
      </c>
      <c r="AJ293" s="327">
        <v>80000</v>
      </c>
      <c r="AK293" s="327">
        <v>0</v>
      </c>
      <c r="AL293" s="328"/>
      <c r="AM293" s="324">
        <v>6667</v>
      </c>
      <c r="AN293" s="324"/>
      <c r="AO293" s="324">
        <v>3333</v>
      </c>
      <c r="AP293" s="324"/>
      <c r="AQ293" s="324">
        <v>3333</v>
      </c>
      <c r="AR293" s="279"/>
      <c r="AS293" s="293">
        <v>13333</v>
      </c>
      <c r="AT293" s="327">
        <v>13333</v>
      </c>
      <c r="AU293" s="327">
        <v>0</v>
      </c>
      <c r="AV293" s="328"/>
      <c r="AW293" s="279">
        <v>33333</v>
      </c>
      <c r="AX293" s="279"/>
      <c r="AY293" s="279">
        <v>16667</v>
      </c>
      <c r="AZ293" s="279">
        <v>16667</v>
      </c>
      <c r="BA293" s="279"/>
      <c r="BB293" s="279"/>
      <c r="BC293" s="293">
        <v>66667</v>
      </c>
      <c r="BD293" s="319"/>
      <c r="BE293" s="293"/>
      <c r="BF293" s="319"/>
      <c r="BG293" s="293"/>
      <c r="BH293" s="293"/>
      <c r="BI293" s="337">
        <v>240000</v>
      </c>
      <c r="BJ293" s="338">
        <v>66667</v>
      </c>
      <c r="BK293" s="126"/>
    </row>
    <row r="294" spans="1:63" ht="15.75">
      <c r="A294" s="314">
        <v>507637</v>
      </c>
      <c r="B294" s="125" t="s">
        <v>1261</v>
      </c>
      <c r="C294" s="124" t="s">
        <v>1262</v>
      </c>
      <c r="D294" s="126">
        <v>211152</v>
      </c>
      <c r="E294" s="124" t="s">
        <v>1263</v>
      </c>
      <c r="F294" s="124" t="s">
        <v>1264</v>
      </c>
      <c r="G294" s="127" t="s">
        <v>46</v>
      </c>
      <c r="H294" s="126" t="s">
        <v>628</v>
      </c>
      <c r="I294" s="126" t="s">
        <v>598</v>
      </c>
      <c r="J294" s="126" t="s">
        <v>650</v>
      </c>
      <c r="K294" s="128" t="s">
        <v>630</v>
      </c>
      <c r="L294" s="121" t="s">
        <v>519</v>
      </c>
      <c r="M294" s="123" t="s">
        <v>736</v>
      </c>
      <c r="N294" s="129">
        <v>43709</v>
      </c>
      <c r="O294" s="129">
        <v>44895</v>
      </c>
      <c r="P294" s="129">
        <v>44895</v>
      </c>
      <c r="Q294" s="323">
        <v>122400</v>
      </c>
      <c r="R294" s="319"/>
      <c r="S294" s="324">
        <v>27125</v>
      </c>
      <c r="T294" s="324"/>
      <c r="U294" s="324">
        <v>13675</v>
      </c>
      <c r="V294" s="324"/>
      <c r="W294" s="324"/>
      <c r="X294" s="324"/>
      <c r="Y294" s="312">
        <v>40800</v>
      </c>
      <c r="Z294" s="325">
        <v>40800</v>
      </c>
      <c r="AA294" s="325">
        <v>0</v>
      </c>
      <c r="AB294" s="326"/>
      <c r="AC294" s="324">
        <v>27125</v>
      </c>
      <c r="AD294" s="324"/>
      <c r="AE294" s="324">
        <v>13675</v>
      </c>
      <c r="AF294" s="324"/>
      <c r="AG294" s="324"/>
      <c r="AH294" s="324"/>
      <c r="AI294" s="312">
        <v>40800</v>
      </c>
      <c r="AJ294" s="327">
        <v>40800</v>
      </c>
      <c r="AK294" s="327">
        <v>0</v>
      </c>
      <c r="AL294" s="328"/>
      <c r="AM294" s="324">
        <v>27125</v>
      </c>
      <c r="AN294" s="324"/>
      <c r="AO294" s="324">
        <v>13675</v>
      </c>
      <c r="AP294" s="279"/>
      <c r="AQ294" s="279"/>
      <c r="AR294" s="279"/>
      <c r="AS294" s="293">
        <v>40800</v>
      </c>
      <c r="AT294" s="327">
        <v>40800</v>
      </c>
      <c r="AU294" s="327">
        <v>0</v>
      </c>
      <c r="AV294" s="328"/>
      <c r="AW294" s="279"/>
      <c r="AX294" s="279"/>
      <c r="AY294" s="279"/>
      <c r="AZ294" s="279"/>
      <c r="BA294" s="279"/>
      <c r="BB294" s="279"/>
      <c r="BC294" s="293"/>
      <c r="BD294" s="319"/>
      <c r="BE294" s="293"/>
      <c r="BF294" s="319"/>
      <c r="BG294" s="293"/>
      <c r="BH294" s="293"/>
      <c r="BI294" s="337">
        <v>122400</v>
      </c>
      <c r="BJ294" s="338">
        <v>0</v>
      </c>
      <c r="BK294" s="126"/>
    </row>
    <row r="295" spans="1:63" ht="15.75">
      <c r="A295" s="314">
        <v>506472</v>
      </c>
      <c r="B295" s="125" t="s">
        <v>1265</v>
      </c>
      <c r="C295" s="124" t="s">
        <v>1266</v>
      </c>
      <c r="D295" s="126">
        <v>211172</v>
      </c>
      <c r="E295" s="124" t="s">
        <v>1267</v>
      </c>
      <c r="F295" s="124" t="s">
        <v>1268</v>
      </c>
      <c r="G295" s="127" t="s">
        <v>46</v>
      </c>
      <c r="H295" s="126" t="s">
        <v>628</v>
      </c>
      <c r="I295" s="126" t="s">
        <v>609</v>
      </c>
      <c r="J295" s="126" t="s">
        <v>807</v>
      </c>
      <c r="K295" s="128" t="s">
        <v>1269</v>
      </c>
      <c r="L295" s="121" t="s">
        <v>19</v>
      </c>
      <c r="M295" s="123" t="s">
        <v>631</v>
      </c>
      <c r="N295" s="129">
        <v>43556</v>
      </c>
      <c r="O295" s="129">
        <v>44459</v>
      </c>
      <c r="P295" s="129">
        <v>44459</v>
      </c>
      <c r="Q295" s="323">
        <v>11975</v>
      </c>
      <c r="R295" s="319"/>
      <c r="S295" s="324">
        <v>0</v>
      </c>
      <c r="T295" s="324">
        <v>11975</v>
      </c>
      <c r="U295" s="324">
        <v>0</v>
      </c>
      <c r="V295" s="324">
        <v>0</v>
      </c>
      <c r="W295" s="324">
        <v>0</v>
      </c>
      <c r="X295" s="324">
        <v>0</v>
      </c>
      <c r="Y295" s="312">
        <v>11975</v>
      </c>
      <c r="Z295" s="325">
        <v>11975</v>
      </c>
      <c r="AA295" s="325">
        <v>0</v>
      </c>
      <c r="AB295" s="326"/>
      <c r="AC295" s="324" t="s">
        <v>602</v>
      </c>
      <c r="AD295" s="324" t="s">
        <v>602</v>
      </c>
      <c r="AE295" s="324" t="s">
        <v>602</v>
      </c>
      <c r="AF295" s="324" t="s">
        <v>602</v>
      </c>
      <c r="AG295" s="324" t="s">
        <v>602</v>
      </c>
      <c r="AH295" s="324"/>
      <c r="AI295" s="312">
        <v>0</v>
      </c>
      <c r="AJ295" s="327">
        <v>0</v>
      </c>
      <c r="AK295" s="327">
        <v>0</v>
      </c>
      <c r="AL295" s="339"/>
      <c r="AM295" s="324">
        <v>0</v>
      </c>
      <c r="AN295" s="324">
        <v>0</v>
      </c>
      <c r="AO295" s="324">
        <v>0</v>
      </c>
      <c r="AP295" s="324">
        <v>0</v>
      </c>
      <c r="AQ295" s="324">
        <v>0</v>
      </c>
      <c r="AR295" s="324">
        <v>0</v>
      </c>
      <c r="AS295" s="293">
        <v>0</v>
      </c>
      <c r="AT295" s="327">
        <v>0</v>
      </c>
      <c r="AU295" s="327">
        <v>0</v>
      </c>
      <c r="AV295" s="328"/>
      <c r="AW295" s="279"/>
      <c r="AX295" s="279"/>
      <c r="AY295" s="279"/>
      <c r="AZ295" s="279"/>
      <c r="BA295" s="279"/>
      <c r="BB295" s="279"/>
      <c r="BC295" s="293"/>
      <c r="BD295" s="319"/>
      <c r="BE295" s="293"/>
      <c r="BF295" s="319"/>
      <c r="BG295" s="293"/>
      <c r="BH295" s="293"/>
      <c r="BI295" s="337">
        <v>11975</v>
      </c>
      <c r="BJ295" s="338">
        <v>0</v>
      </c>
      <c r="BK295" s="126"/>
    </row>
    <row r="296" spans="1:63" ht="15.75">
      <c r="A296" s="314">
        <v>501348</v>
      </c>
      <c r="B296" s="125" t="s">
        <v>1270</v>
      </c>
      <c r="C296" s="124" t="s">
        <v>1271</v>
      </c>
      <c r="D296" s="126">
        <v>211191</v>
      </c>
      <c r="E296" s="121" t="s">
        <v>1272</v>
      </c>
      <c r="F296" s="121" t="s">
        <v>1072</v>
      </c>
      <c r="G296" s="127" t="s">
        <v>82</v>
      </c>
      <c r="H296" s="123" t="s">
        <v>628</v>
      </c>
      <c r="I296" s="126" t="s">
        <v>598</v>
      </c>
      <c r="J296" s="126" t="s">
        <v>888</v>
      </c>
      <c r="K296" s="128" t="s">
        <v>731</v>
      </c>
      <c r="L296" s="121" t="s">
        <v>515</v>
      </c>
      <c r="M296" s="143" t="s">
        <v>934</v>
      </c>
      <c r="N296" s="129">
        <v>42614</v>
      </c>
      <c r="O296" s="129">
        <v>44286</v>
      </c>
      <c r="P296" s="129">
        <v>44334</v>
      </c>
      <c r="Q296" s="330">
        <v>349500</v>
      </c>
      <c r="R296" s="331"/>
      <c r="S296" s="324">
        <v>83585</v>
      </c>
      <c r="T296" s="324">
        <v>3995</v>
      </c>
      <c r="U296" s="324">
        <v>28920</v>
      </c>
      <c r="V296" s="324"/>
      <c r="W296" s="324">
        <v>0</v>
      </c>
      <c r="X296" s="324">
        <v>0</v>
      </c>
      <c r="Y296" s="312">
        <v>116500</v>
      </c>
      <c r="Z296" s="325">
        <v>116500</v>
      </c>
      <c r="AA296" s="325">
        <v>0</v>
      </c>
      <c r="AB296" s="326"/>
      <c r="AC296" s="324">
        <v>83585</v>
      </c>
      <c r="AD296" s="324">
        <v>3995</v>
      </c>
      <c r="AE296" s="324">
        <v>28920</v>
      </c>
      <c r="AF296" s="324">
        <v>0</v>
      </c>
      <c r="AG296" s="324">
        <v>0</v>
      </c>
      <c r="AH296" s="324"/>
      <c r="AI296" s="312">
        <v>116500</v>
      </c>
      <c r="AJ296" s="327">
        <v>116500</v>
      </c>
      <c r="AK296" s="327">
        <v>0</v>
      </c>
      <c r="AL296" s="328"/>
      <c r="AM296" s="279">
        <v>83585</v>
      </c>
      <c r="AN296" s="279">
        <v>3995</v>
      </c>
      <c r="AO296" s="279">
        <v>28920</v>
      </c>
      <c r="AP296" s="279"/>
      <c r="AQ296" s="279">
        <v>0</v>
      </c>
      <c r="AR296" s="279">
        <v>0</v>
      </c>
      <c r="AS296" s="293">
        <v>116500</v>
      </c>
      <c r="AT296" s="327">
        <v>116500</v>
      </c>
      <c r="AU296" s="327">
        <v>0</v>
      </c>
      <c r="AV296" s="328"/>
      <c r="AW296" s="279"/>
      <c r="AX296" s="279"/>
      <c r="AY296" s="279"/>
      <c r="AZ296" s="279"/>
      <c r="BA296" s="279"/>
      <c r="BB296" s="279"/>
      <c r="BC296" s="293"/>
      <c r="BD296" s="319"/>
      <c r="BE296" s="293"/>
      <c r="BF296" s="319"/>
      <c r="BG296" s="293"/>
      <c r="BH296" s="293"/>
      <c r="BI296" s="337">
        <v>349500</v>
      </c>
      <c r="BJ296" s="338">
        <v>0</v>
      </c>
      <c r="BK296" s="280"/>
    </row>
    <row r="297" spans="1:63" ht="15.75">
      <c r="A297" s="314">
        <v>504344</v>
      </c>
      <c r="B297" s="125" t="s">
        <v>1273</v>
      </c>
      <c r="C297" s="124" t="s">
        <v>1274</v>
      </c>
      <c r="D297" s="126">
        <v>211218</v>
      </c>
      <c r="E297" s="148" t="s">
        <v>1275</v>
      </c>
      <c r="F297" s="148" t="s">
        <v>1276</v>
      </c>
      <c r="G297" s="127" t="s">
        <v>1277</v>
      </c>
      <c r="H297" s="123" t="s">
        <v>628</v>
      </c>
      <c r="I297" s="126" t="s">
        <v>598</v>
      </c>
      <c r="J297" s="126" t="s">
        <v>659</v>
      </c>
      <c r="K297" s="128" t="s">
        <v>660</v>
      </c>
      <c r="L297" s="121" t="s">
        <v>19</v>
      </c>
      <c r="M297" s="123" t="s">
        <v>1278</v>
      </c>
      <c r="N297" s="129">
        <v>43191</v>
      </c>
      <c r="O297" s="129">
        <v>43921</v>
      </c>
      <c r="P297" s="129">
        <v>43921</v>
      </c>
      <c r="Q297" s="330">
        <v>28454</v>
      </c>
      <c r="R297" s="331"/>
      <c r="S297" s="324">
        <v>14227</v>
      </c>
      <c r="T297" s="324">
        <v>0</v>
      </c>
      <c r="U297" s="324">
        <v>0</v>
      </c>
      <c r="V297" s="324">
        <v>0</v>
      </c>
      <c r="W297" s="324">
        <v>0</v>
      </c>
      <c r="X297" s="324">
        <v>0</v>
      </c>
      <c r="Y297" s="312">
        <v>14227</v>
      </c>
      <c r="Z297" s="325">
        <v>14227</v>
      </c>
      <c r="AA297" s="325">
        <v>0</v>
      </c>
      <c r="AB297" s="326"/>
      <c r="AC297" s="324">
        <v>14227</v>
      </c>
      <c r="AD297" s="324">
        <v>0</v>
      </c>
      <c r="AE297" s="324">
        <v>0</v>
      </c>
      <c r="AF297" s="324">
        <v>0</v>
      </c>
      <c r="AG297" s="324">
        <v>0</v>
      </c>
      <c r="AH297" s="324"/>
      <c r="AI297" s="312">
        <v>14227</v>
      </c>
      <c r="AJ297" s="327">
        <v>14227</v>
      </c>
      <c r="AK297" s="327">
        <v>0</v>
      </c>
      <c r="AL297" s="339"/>
      <c r="AM297" s="324">
        <v>0</v>
      </c>
      <c r="AN297" s="324">
        <v>0</v>
      </c>
      <c r="AO297" s="324">
        <v>0</v>
      </c>
      <c r="AP297" s="324">
        <v>0</v>
      </c>
      <c r="AQ297" s="324">
        <v>0</v>
      </c>
      <c r="AR297" s="324">
        <v>0</v>
      </c>
      <c r="AS297" s="293">
        <v>0</v>
      </c>
      <c r="AT297" s="327">
        <v>0</v>
      </c>
      <c r="AU297" s="327">
        <v>0</v>
      </c>
      <c r="AV297" s="328"/>
      <c r="AW297" s="279"/>
      <c r="AX297" s="279"/>
      <c r="AY297" s="279"/>
      <c r="AZ297" s="279"/>
      <c r="BA297" s="279"/>
      <c r="BB297" s="279"/>
      <c r="BC297" s="293"/>
      <c r="BD297" s="319"/>
      <c r="BE297" s="293"/>
      <c r="BF297" s="319"/>
      <c r="BG297" s="293"/>
      <c r="BH297" s="293"/>
      <c r="BI297" s="337">
        <v>28454</v>
      </c>
      <c r="BJ297" s="338">
        <v>0</v>
      </c>
      <c r="BK297" s="280"/>
    </row>
    <row r="298" spans="1:63" ht="15.75">
      <c r="A298" s="314">
        <v>501333</v>
      </c>
      <c r="B298" s="125" t="s">
        <v>1279</v>
      </c>
      <c r="C298" s="124" t="s">
        <v>250</v>
      </c>
      <c r="D298" s="126">
        <v>211256</v>
      </c>
      <c r="E298" s="121" t="s">
        <v>1280</v>
      </c>
      <c r="F298" s="121" t="s">
        <v>1136</v>
      </c>
      <c r="G298" s="127" t="s">
        <v>68</v>
      </c>
      <c r="H298" s="123" t="s">
        <v>628</v>
      </c>
      <c r="I298" s="126" t="s">
        <v>598</v>
      </c>
      <c r="J298" s="126" t="s">
        <v>888</v>
      </c>
      <c r="K298" s="128" t="s">
        <v>731</v>
      </c>
      <c r="L298" s="121" t="s">
        <v>515</v>
      </c>
      <c r="M298" s="143" t="s">
        <v>797</v>
      </c>
      <c r="N298" s="129">
        <v>42614</v>
      </c>
      <c r="O298" s="129">
        <v>43830</v>
      </c>
      <c r="P298" s="129">
        <v>44144</v>
      </c>
      <c r="Q298" s="330">
        <v>270000</v>
      </c>
      <c r="R298" s="331"/>
      <c r="S298" s="324">
        <v>57600</v>
      </c>
      <c r="T298" s="324">
        <v>0</v>
      </c>
      <c r="U298" s="324">
        <v>32400</v>
      </c>
      <c r="V298" s="324"/>
      <c r="W298" s="324">
        <v>0</v>
      </c>
      <c r="X298" s="324">
        <v>0</v>
      </c>
      <c r="Y298" s="312">
        <v>90000</v>
      </c>
      <c r="Z298" s="325">
        <v>90000</v>
      </c>
      <c r="AA298" s="325">
        <v>0</v>
      </c>
      <c r="AB298" s="326"/>
      <c r="AC298" s="324">
        <v>57600</v>
      </c>
      <c r="AD298" s="324">
        <v>0</v>
      </c>
      <c r="AE298" s="324">
        <v>32400</v>
      </c>
      <c r="AF298" s="324">
        <v>0</v>
      </c>
      <c r="AG298" s="324">
        <v>0</v>
      </c>
      <c r="AH298" s="324"/>
      <c r="AI298" s="312">
        <v>90000</v>
      </c>
      <c r="AJ298" s="327">
        <v>90000</v>
      </c>
      <c r="AK298" s="327">
        <v>0</v>
      </c>
      <c r="AL298" s="328"/>
      <c r="AM298" s="279">
        <v>57600</v>
      </c>
      <c r="AN298" s="279">
        <v>0</v>
      </c>
      <c r="AO298" s="279">
        <v>32400</v>
      </c>
      <c r="AP298" s="279"/>
      <c r="AQ298" s="279">
        <v>0</v>
      </c>
      <c r="AR298" s="279">
        <v>0</v>
      </c>
      <c r="AS298" s="293">
        <v>90000</v>
      </c>
      <c r="AT298" s="327">
        <v>90000</v>
      </c>
      <c r="AU298" s="327">
        <v>0</v>
      </c>
      <c r="AV298" s="328"/>
      <c r="AW298" s="279"/>
      <c r="AX298" s="279"/>
      <c r="AY298" s="279"/>
      <c r="AZ298" s="279"/>
      <c r="BA298" s="279"/>
      <c r="BB298" s="279"/>
      <c r="BC298" s="293"/>
      <c r="BD298" s="319"/>
      <c r="BE298" s="293"/>
      <c r="BF298" s="319"/>
      <c r="BG298" s="293"/>
      <c r="BH298" s="293"/>
      <c r="BI298" s="337">
        <v>270000</v>
      </c>
      <c r="BJ298" s="338">
        <v>0</v>
      </c>
      <c r="BK298" s="280"/>
    </row>
    <row r="299" spans="1:63" ht="15.75">
      <c r="A299" s="314">
        <v>507638</v>
      </c>
      <c r="B299" s="124" t="s">
        <v>1279</v>
      </c>
      <c r="C299" s="124" t="s">
        <v>250</v>
      </c>
      <c r="D299" s="126">
        <v>211256</v>
      </c>
      <c r="E299" s="124" t="s">
        <v>1280</v>
      </c>
      <c r="F299" s="124" t="s">
        <v>1136</v>
      </c>
      <c r="G299" s="127" t="s">
        <v>68</v>
      </c>
      <c r="H299" s="126" t="s">
        <v>628</v>
      </c>
      <c r="I299" s="126" t="s">
        <v>598</v>
      </c>
      <c r="J299" s="126" t="s">
        <v>888</v>
      </c>
      <c r="K299" s="128" t="s">
        <v>731</v>
      </c>
      <c r="L299" s="121" t="s">
        <v>519</v>
      </c>
      <c r="M299" s="123" t="s">
        <v>791</v>
      </c>
      <c r="N299" s="129">
        <v>43709</v>
      </c>
      <c r="O299" s="129">
        <v>44895</v>
      </c>
      <c r="P299" s="129">
        <v>44895</v>
      </c>
      <c r="Q299" s="323">
        <v>400000</v>
      </c>
      <c r="R299" s="319"/>
      <c r="S299" s="324">
        <v>80000</v>
      </c>
      <c r="T299" s="324"/>
      <c r="U299" s="324">
        <v>39500</v>
      </c>
      <c r="V299" s="324"/>
      <c r="W299" s="324">
        <v>15500</v>
      </c>
      <c r="X299" s="324"/>
      <c r="Y299" s="312">
        <v>135000</v>
      </c>
      <c r="Z299" s="325">
        <v>135000</v>
      </c>
      <c r="AA299" s="325">
        <v>0</v>
      </c>
      <c r="AB299" s="326"/>
      <c r="AC299" s="324">
        <v>80000</v>
      </c>
      <c r="AD299" s="324"/>
      <c r="AE299" s="324">
        <v>39500</v>
      </c>
      <c r="AF299" s="324"/>
      <c r="AG299" s="324">
        <v>13000</v>
      </c>
      <c r="AH299" s="324"/>
      <c r="AI299" s="312">
        <v>132500</v>
      </c>
      <c r="AJ299" s="327">
        <v>132500</v>
      </c>
      <c r="AK299" s="327">
        <v>0</v>
      </c>
      <c r="AL299" s="328"/>
      <c r="AM299" s="324">
        <v>80000</v>
      </c>
      <c r="AN299" s="324"/>
      <c r="AO299" s="324">
        <v>39500</v>
      </c>
      <c r="AP299" s="324"/>
      <c r="AQ299" s="324">
        <v>13000</v>
      </c>
      <c r="AR299" s="324"/>
      <c r="AS299" s="293">
        <v>132500</v>
      </c>
      <c r="AT299" s="327">
        <v>132500</v>
      </c>
      <c r="AU299" s="327">
        <v>0</v>
      </c>
      <c r="AV299" s="328"/>
      <c r="AW299" s="279"/>
      <c r="AX299" s="279"/>
      <c r="AY299" s="279"/>
      <c r="AZ299" s="279"/>
      <c r="BA299" s="279"/>
      <c r="BB299" s="279"/>
      <c r="BC299" s="293"/>
      <c r="BD299" s="319"/>
      <c r="BE299" s="293"/>
      <c r="BF299" s="319"/>
      <c r="BG299" s="293"/>
      <c r="BH299" s="293"/>
      <c r="BI299" s="337">
        <v>400000</v>
      </c>
      <c r="BJ299" s="338">
        <v>0</v>
      </c>
      <c r="BK299" s="126"/>
    </row>
    <row r="300" spans="1:63" ht="15.75">
      <c r="A300" s="314">
        <v>501339</v>
      </c>
      <c r="B300" s="125" t="s">
        <v>1281</v>
      </c>
      <c r="C300" s="124" t="s">
        <v>1282</v>
      </c>
      <c r="D300" s="126">
        <v>211320</v>
      </c>
      <c r="E300" s="124" t="s">
        <v>1283</v>
      </c>
      <c r="F300" s="124" t="s">
        <v>1136</v>
      </c>
      <c r="G300" s="127" t="s">
        <v>46</v>
      </c>
      <c r="H300" s="126" t="s">
        <v>597</v>
      </c>
      <c r="I300" s="126" t="s">
        <v>893</v>
      </c>
      <c r="J300" s="126" t="s">
        <v>894</v>
      </c>
      <c r="K300" s="128" t="s">
        <v>895</v>
      </c>
      <c r="L300" s="121" t="s">
        <v>515</v>
      </c>
      <c r="M300" s="123" t="s">
        <v>857</v>
      </c>
      <c r="N300" s="129">
        <v>42614</v>
      </c>
      <c r="O300" s="129">
        <v>43951</v>
      </c>
      <c r="P300" s="129">
        <v>44117</v>
      </c>
      <c r="Q300" s="323">
        <v>319660</v>
      </c>
      <c r="R300" s="319"/>
      <c r="S300" s="324">
        <v>90000</v>
      </c>
      <c r="T300" s="324">
        <v>5000</v>
      </c>
      <c r="U300" s="324">
        <v>10500</v>
      </c>
      <c r="V300" s="324"/>
      <c r="W300" s="324">
        <v>4000</v>
      </c>
      <c r="X300" s="324">
        <v>5000</v>
      </c>
      <c r="Y300" s="312">
        <v>114500</v>
      </c>
      <c r="Z300" s="325">
        <v>114500</v>
      </c>
      <c r="AA300" s="325">
        <v>0</v>
      </c>
      <c r="AB300" s="326"/>
      <c r="AC300" s="324">
        <v>90000</v>
      </c>
      <c r="AD300" s="324">
        <v>0</v>
      </c>
      <c r="AE300" s="324">
        <v>7160</v>
      </c>
      <c r="AF300" s="324">
        <v>4000</v>
      </c>
      <c r="AG300" s="324">
        <v>0</v>
      </c>
      <c r="AH300" s="324"/>
      <c r="AI300" s="312">
        <v>101160</v>
      </c>
      <c r="AJ300" s="327">
        <v>101160</v>
      </c>
      <c r="AK300" s="327">
        <v>0</v>
      </c>
      <c r="AL300" s="328"/>
      <c r="AM300" s="279">
        <v>85000</v>
      </c>
      <c r="AN300" s="279">
        <v>0</v>
      </c>
      <c r="AO300" s="279">
        <v>15000</v>
      </c>
      <c r="AP300" s="279"/>
      <c r="AQ300" s="279">
        <v>4000</v>
      </c>
      <c r="AR300" s="279">
        <v>0</v>
      </c>
      <c r="AS300" s="293">
        <v>104000</v>
      </c>
      <c r="AT300" s="327">
        <v>104000</v>
      </c>
      <c r="AU300" s="327">
        <v>0</v>
      </c>
      <c r="AV300" s="328"/>
      <c r="AW300" s="279"/>
      <c r="AX300" s="279"/>
      <c r="AY300" s="279"/>
      <c r="AZ300" s="279"/>
      <c r="BA300" s="279"/>
      <c r="BB300" s="279"/>
      <c r="BC300" s="293"/>
      <c r="BD300" s="319"/>
      <c r="BE300" s="293"/>
      <c r="BF300" s="319"/>
      <c r="BG300" s="293"/>
      <c r="BH300" s="293"/>
      <c r="BI300" s="337">
        <v>319660</v>
      </c>
      <c r="BJ300" s="338">
        <v>0</v>
      </c>
      <c r="BK300" s="126"/>
    </row>
    <row r="301" spans="1:63" ht="15.75">
      <c r="A301" s="314">
        <v>501334</v>
      </c>
      <c r="B301" s="125" t="s">
        <v>1284</v>
      </c>
      <c r="C301" s="124" t="s">
        <v>55</v>
      </c>
      <c r="D301" s="126">
        <v>211377</v>
      </c>
      <c r="E301" s="148" t="s">
        <v>1285</v>
      </c>
      <c r="F301" s="148" t="s">
        <v>1143</v>
      </c>
      <c r="G301" s="127" t="s">
        <v>53</v>
      </c>
      <c r="H301" s="149" t="s">
        <v>597</v>
      </c>
      <c r="I301" s="126" t="s">
        <v>598</v>
      </c>
      <c r="J301" s="126" t="s">
        <v>888</v>
      </c>
      <c r="K301" s="128" t="s">
        <v>731</v>
      </c>
      <c r="L301" s="121" t="s">
        <v>515</v>
      </c>
      <c r="M301" s="123" t="s">
        <v>840</v>
      </c>
      <c r="N301" s="129">
        <v>42614</v>
      </c>
      <c r="O301" s="129">
        <v>43708</v>
      </c>
      <c r="P301" s="129">
        <v>44144</v>
      </c>
      <c r="Q301" s="330">
        <v>810769</v>
      </c>
      <c r="R301" s="331"/>
      <c r="S301" s="324">
        <v>101750</v>
      </c>
      <c r="T301" s="324">
        <v>0</v>
      </c>
      <c r="U301" s="324">
        <v>121125</v>
      </c>
      <c r="V301" s="324"/>
      <c r="W301" s="324">
        <v>47381</v>
      </c>
      <c r="X301" s="324">
        <v>0</v>
      </c>
      <c r="Y301" s="312">
        <v>270256</v>
      </c>
      <c r="Z301" s="325">
        <v>270256</v>
      </c>
      <c r="AA301" s="325">
        <v>0</v>
      </c>
      <c r="AB301" s="326"/>
      <c r="AC301" s="324">
        <v>101750</v>
      </c>
      <c r="AD301" s="324">
        <v>0</v>
      </c>
      <c r="AE301" s="324">
        <v>121125</v>
      </c>
      <c r="AF301" s="324">
        <v>47381</v>
      </c>
      <c r="AG301" s="324">
        <v>0</v>
      </c>
      <c r="AH301" s="324"/>
      <c r="AI301" s="312">
        <v>270256</v>
      </c>
      <c r="AJ301" s="327">
        <v>270256</v>
      </c>
      <c r="AK301" s="327">
        <v>0</v>
      </c>
      <c r="AL301" s="328"/>
      <c r="AM301" s="279">
        <v>101750</v>
      </c>
      <c r="AN301" s="279">
        <v>0</v>
      </c>
      <c r="AO301" s="279">
        <v>121125</v>
      </c>
      <c r="AP301" s="279"/>
      <c r="AQ301" s="279">
        <v>47382</v>
      </c>
      <c r="AR301" s="279">
        <v>0</v>
      </c>
      <c r="AS301" s="293">
        <v>270257</v>
      </c>
      <c r="AT301" s="327">
        <v>270257</v>
      </c>
      <c r="AU301" s="327">
        <v>0</v>
      </c>
      <c r="AV301" s="328"/>
      <c r="AW301" s="279"/>
      <c r="AX301" s="279"/>
      <c r="AY301" s="279"/>
      <c r="AZ301" s="279"/>
      <c r="BA301" s="279"/>
      <c r="BB301" s="279"/>
      <c r="BC301" s="293"/>
      <c r="BD301" s="319"/>
      <c r="BE301" s="293"/>
      <c r="BF301" s="319"/>
      <c r="BG301" s="293"/>
      <c r="BH301" s="293"/>
      <c r="BI301" s="337">
        <v>810769</v>
      </c>
      <c r="BJ301" s="338">
        <v>0</v>
      </c>
      <c r="BK301" s="280"/>
    </row>
    <row r="302" spans="1:63" ht="15.75">
      <c r="A302" s="314">
        <v>501337</v>
      </c>
      <c r="B302" s="125" t="s">
        <v>1284</v>
      </c>
      <c r="C302" s="124" t="s">
        <v>55</v>
      </c>
      <c r="D302" s="126">
        <v>211377</v>
      </c>
      <c r="E302" s="148" t="s">
        <v>1285</v>
      </c>
      <c r="F302" s="148" t="s">
        <v>1143</v>
      </c>
      <c r="G302" s="127" t="s">
        <v>53</v>
      </c>
      <c r="H302" s="149" t="s">
        <v>628</v>
      </c>
      <c r="I302" s="126" t="s">
        <v>598</v>
      </c>
      <c r="J302" s="126" t="s">
        <v>888</v>
      </c>
      <c r="K302" s="128" t="s">
        <v>731</v>
      </c>
      <c r="L302" s="121" t="s">
        <v>515</v>
      </c>
      <c r="M302" s="123" t="s">
        <v>1003</v>
      </c>
      <c r="N302" s="129">
        <v>42614</v>
      </c>
      <c r="O302" s="129">
        <v>43708</v>
      </c>
      <c r="P302" s="129">
        <v>44144</v>
      </c>
      <c r="Q302" s="330">
        <v>60000</v>
      </c>
      <c r="R302" s="331"/>
      <c r="S302" s="324">
        <v>20000</v>
      </c>
      <c r="T302" s="324">
        <v>0</v>
      </c>
      <c r="U302" s="324">
        <v>0</v>
      </c>
      <c r="V302" s="324"/>
      <c r="W302" s="324">
        <v>0</v>
      </c>
      <c r="X302" s="324">
        <v>0</v>
      </c>
      <c r="Y302" s="312">
        <v>20000</v>
      </c>
      <c r="Z302" s="325">
        <v>20000</v>
      </c>
      <c r="AA302" s="325">
        <v>0</v>
      </c>
      <c r="AB302" s="326"/>
      <c r="AC302" s="324">
        <v>20000</v>
      </c>
      <c r="AD302" s="324">
        <v>0</v>
      </c>
      <c r="AE302" s="324">
        <v>0</v>
      </c>
      <c r="AF302" s="324">
        <v>0</v>
      </c>
      <c r="AG302" s="324">
        <v>0</v>
      </c>
      <c r="AH302" s="324"/>
      <c r="AI302" s="312">
        <v>20000</v>
      </c>
      <c r="AJ302" s="327">
        <v>20000</v>
      </c>
      <c r="AK302" s="327">
        <v>0</v>
      </c>
      <c r="AL302" s="328"/>
      <c r="AM302" s="279">
        <v>20000</v>
      </c>
      <c r="AN302" s="279">
        <v>0</v>
      </c>
      <c r="AO302" s="279">
        <v>0</v>
      </c>
      <c r="AP302" s="279"/>
      <c r="AQ302" s="279">
        <v>0</v>
      </c>
      <c r="AR302" s="279">
        <v>0</v>
      </c>
      <c r="AS302" s="293">
        <v>20000</v>
      </c>
      <c r="AT302" s="327">
        <v>20000</v>
      </c>
      <c r="AU302" s="327">
        <v>0</v>
      </c>
      <c r="AV302" s="328"/>
      <c r="AW302" s="279"/>
      <c r="AX302" s="279"/>
      <c r="AY302" s="279"/>
      <c r="AZ302" s="279"/>
      <c r="BA302" s="279"/>
      <c r="BB302" s="279"/>
      <c r="BC302" s="293"/>
      <c r="BD302" s="319"/>
      <c r="BE302" s="293"/>
      <c r="BF302" s="319"/>
      <c r="BG302" s="293"/>
      <c r="BH302" s="293"/>
      <c r="BI302" s="337">
        <v>60000</v>
      </c>
      <c r="BJ302" s="338">
        <v>0</v>
      </c>
      <c r="BK302" s="280"/>
    </row>
    <row r="303" spans="1:63" ht="15.75">
      <c r="A303" s="314">
        <v>507776</v>
      </c>
      <c r="B303" s="124" t="s">
        <v>1284</v>
      </c>
      <c r="C303" s="124" t="s">
        <v>55</v>
      </c>
      <c r="D303" s="126">
        <v>211377</v>
      </c>
      <c r="E303" s="124" t="s">
        <v>1285</v>
      </c>
      <c r="F303" s="124" t="s">
        <v>1143</v>
      </c>
      <c r="G303" s="127" t="s">
        <v>53</v>
      </c>
      <c r="H303" s="126" t="s">
        <v>597</v>
      </c>
      <c r="I303" s="126" t="s">
        <v>598</v>
      </c>
      <c r="J303" s="126" t="s">
        <v>888</v>
      </c>
      <c r="K303" s="128" t="s">
        <v>731</v>
      </c>
      <c r="L303" s="121" t="s">
        <v>519</v>
      </c>
      <c r="M303" s="123" t="s">
        <v>1080</v>
      </c>
      <c r="N303" s="129">
        <v>43709</v>
      </c>
      <c r="O303" s="129">
        <v>44895</v>
      </c>
      <c r="P303" s="129">
        <v>44895</v>
      </c>
      <c r="Q303" s="323">
        <v>180000</v>
      </c>
      <c r="R303" s="319"/>
      <c r="S303" s="324">
        <v>30000</v>
      </c>
      <c r="T303" s="324">
        <v>0</v>
      </c>
      <c r="U303" s="324">
        <v>20000</v>
      </c>
      <c r="V303" s="324">
        <v>0</v>
      </c>
      <c r="W303" s="324">
        <v>10000</v>
      </c>
      <c r="X303" s="324">
        <v>0</v>
      </c>
      <c r="Y303" s="312">
        <v>60000</v>
      </c>
      <c r="Z303" s="325">
        <v>60000</v>
      </c>
      <c r="AA303" s="325">
        <v>0</v>
      </c>
      <c r="AB303" s="326"/>
      <c r="AC303" s="324">
        <v>30000</v>
      </c>
      <c r="AD303" s="324">
        <v>0</v>
      </c>
      <c r="AE303" s="324">
        <v>20000</v>
      </c>
      <c r="AF303" s="324">
        <v>0</v>
      </c>
      <c r="AG303" s="324">
        <v>10000</v>
      </c>
      <c r="AH303" s="324">
        <v>0</v>
      </c>
      <c r="AI303" s="312">
        <v>60000</v>
      </c>
      <c r="AJ303" s="327">
        <v>60000</v>
      </c>
      <c r="AK303" s="327">
        <v>0</v>
      </c>
      <c r="AL303" s="328"/>
      <c r="AM303" s="324">
        <v>30000</v>
      </c>
      <c r="AN303" s="324">
        <v>0</v>
      </c>
      <c r="AO303" s="324">
        <v>20000</v>
      </c>
      <c r="AP303" s="324">
        <v>0</v>
      </c>
      <c r="AQ303" s="324">
        <v>10000</v>
      </c>
      <c r="AR303" s="324">
        <v>0</v>
      </c>
      <c r="AS303" s="293">
        <v>60000</v>
      </c>
      <c r="AT303" s="327">
        <v>60000</v>
      </c>
      <c r="AU303" s="327">
        <v>0</v>
      </c>
      <c r="AV303" s="328"/>
      <c r="AW303" s="279"/>
      <c r="AX303" s="279"/>
      <c r="AY303" s="279"/>
      <c r="AZ303" s="279"/>
      <c r="BA303" s="279"/>
      <c r="BB303" s="279"/>
      <c r="BC303" s="293"/>
      <c r="BD303" s="319"/>
      <c r="BE303" s="293"/>
      <c r="BF303" s="319"/>
      <c r="BG303" s="293"/>
      <c r="BH303" s="293"/>
      <c r="BI303" s="337">
        <v>180000</v>
      </c>
      <c r="BJ303" s="338">
        <v>0</v>
      </c>
      <c r="BK303" s="126"/>
    </row>
    <row r="304" spans="1:63" ht="15.75">
      <c r="A304" s="314">
        <v>511799</v>
      </c>
      <c r="B304" s="125" t="s">
        <v>1284</v>
      </c>
      <c r="C304" s="124" t="s">
        <v>55</v>
      </c>
      <c r="D304" s="126">
        <v>211377</v>
      </c>
      <c r="E304" s="124" t="s">
        <v>1285</v>
      </c>
      <c r="F304" s="124" t="s">
        <v>1143</v>
      </c>
      <c r="G304" s="127" t="s">
        <v>53</v>
      </c>
      <c r="H304" s="126" t="s">
        <v>597</v>
      </c>
      <c r="I304" s="126" t="s">
        <v>598</v>
      </c>
      <c r="J304" s="126" t="s">
        <v>888</v>
      </c>
      <c r="K304" s="128" t="s">
        <v>731</v>
      </c>
      <c r="L304" s="121" t="s">
        <v>10</v>
      </c>
      <c r="M304" s="123" t="s">
        <v>1286</v>
      </c>
      <c r="N304" s="129">
        <v>44013</v>
      </c>
      <c r="O304" s="129">
        <v>44742</v>
      </c>
      <c r="P304" s="129">
        <v>44742</v>
      </c>
      <c r="Q304" s="323">
        <v>150000</v>
      </c>
      <c r="R304" s="334">
        <v>84000</v>
      </c>
      <c r="S304" s="324">
        <v>0</v>
      </c>
      <c r="T304" s="334">
        <v>0</v>
      </c>
      <c r="U304" s="324">
        <v>0</v>
      </c>
      <c r="V304" s="324">
        <v>16000</v>
      </c>
      <c r="W304" s="324">
        <v>0</v>
      </c>
      <c r="X304" s="324">
        <v>50000</v>
      </c>
      <c r="Y304" s="312">
        <v>150000</v>
      </c>
      <c r="Z304" s="325">
        <v>150000</v>
      </c>
      <c r="AA304" s="325">
        <v>0</v>
      </c>
      <c r="AB304" s="334">
        <v>84000</v>
      </c>
      <c r="AC304" s="324">
        <v>0</v>
      </c>
      <c r="AD304" s="334">
        <v>0</v>
      </c>
      <c r="AE304" s="324">
        <v>0</v>
      </c>
      <c r="AF304" s="324">
        <v>16000</v>
      </c>
      <c r="AG304" s="324">
        <v>0</v>
      </c>
      <c r="AH304" s="324">
        <v>50000</v>
      </c>
      <c r="AI304" s="312">
        <v>150000</v>
      </c>
      <c r="AJ304" s="327">
        <v>150000</v>
      </c>
      <c r="AK304" s="327">
        <v>0</v>
      </c>
      <c r="AL304" s="328"/>
      <c r="AM304" s="279"/>
      <c r="AN304" s="279"/>
      <c r="AO304" s="279"/>
      <c r="AP304" s="279"/>
      <c r="AQ304" s="279"/>
      <c r="AR304" s="279"/>
      <c r="AS304" s="293">
        <v>0</v>
      </c>
      <c r="AT304" s="327">
        <v>0</v>
      </c>
      <c r="AU304" s="327">
        <v>0</v>
      </c>
      <c r="AV304" s="328"/>
      <c r="AW304" s="279"/>
      <c r="AX304" s="279"/>
      <c r="AY304" s="279"/>
      <c r="AZ304" s="279"/>
      <c r="BA304" s="279"/>
      <c r="BB304" s="279"/>
      <c r="BC304" s="293"/>
      <c r="BD304" s="319"/>
      <c r="BE304" s="293"/>
      <c r="BF304" s="319"/>
      <c r="BG304" s="293"/>
      <c r="BH304" s="293"/>
      <c r="BI304" s="337">
        <v>300000</v>
      </c>
      <c r="BJ304" s="338">
        <v>150000</v>
      </c>
      <c r="BK304" s="126"/>
    </row>
    <row r="305" spans="1:63" ht="15.75">
      <c r="A305" s="314">
        <v>504344</v>
      </c>
      <c r="B305" s="125" t="s">
        <v>1287</v>
      </c>
      <c r="C305" s="124" t="s">
        <v>1288</v>
      </c>
      <c r="D305" s="126">
        <v>211456</v>
      </c>
      <c r="E305" s="124" t="s">
        <v>1289</v>
      </c>
      <c r="F305" s="124" t="s">
        <v>1290</v>
      </c>
      <c r="G305" s="127" t="s">
        <v>1277</v>
      </c>
      <c r="H305" s="126" t="s">
        <v>597</v>
      </c>
      <c r="I305" s="126" t="s">
        <v>598</v>
      </c>
      <c r="J305" s="126" t="s">
        <v>659</v>
      </c>
      <c r="K305" s="128" t="s">
        <v>660</v>
      </c>
      <c r="L305" s="121" t="s">
        <v>19</v>
      </c>
      <c r="M305" s="123" t="s">
        <v>1278</v>
      </c>
      <c r="N305" s="129">
        <v>43191</v>
      </c>
      <c r="O305" s="129">
        <v>43921</v>
      </c>
      <c r="P305" s="129">
        <v>43921</v>
      </c>
      <c r="Q305" s="323">
        <v>170272</v>
      </c>
      <c r="R305" s="331"/>
      <c r="S305" s="324">
        <v>52481</v>
      </c>
      <c r="T305" s="324">
        <v>0</v>
      </c>
      <c r="U305" s="324">
        <v>32581</v>
      </c>
      <c r="V305" s="324">
        <v>0</v>
      </c>
      <c r="W305" s="324">
        <v>0</v>
      </c>
      <c r="X305" s="324">
        <v>0</v>
      </c>
      <c r="Y305" s="312">
        <v>85062</v>
      </c>
      <c r="Z305" s="325">
        <v>85062</v>
      </c>
      <c r="AA305" s="325">
        <v>0</v>
      </c>
      <c r="AB305" s="326"/>
      <c r="AC305" s="324">
        <v>50340</v>
      </c>
      <c r="AD305" s="324">
        <v>0</v>
      </c>
      <c r="AE305" s="324">
        <v>34870</v>
      </c>
      <c r="AF305" s="324">
        <v>0</v>
      </c>
      <c r="AG305" s="324">
        <v>0</v>
      </c>
      <c r="AH305" s="324"/>
      <c r="AI305" s="312">
        <v>85210</v>
      </c>
      <c r="AJ305" s="327">
        <v>85210</v>
      </c>
      <c r="AK305" s="327">
        <v>0</v>
      </c>
      <c r="AL305" s="339"/>
      <c r="AM305" s="324">
        <v>0</v>
      </c>
      <c r="AN305" s="324">
        <v>0</v>
      </c>
      <c r="AO305" s="324">
        <v>0</v>
      </c>
      <c r="AP305" s="324">
        <v>0</v>
      </c>
      <c r="AQ305" s="324">
        <v>0</v>
      </c>
      <c r="AR305" s="324">
        <v>0</v>
      </c>
      <c r="AS305" s="293">
        <v>0</v>
      </c>
      <c r="AT305" s="327">
        <v>0</v>
      </c>
      <c r="AU305" s="327">
        <v>0</v>
      </c>
      <c r="AV305" s="328"/>
      <c r="AW305" s="279"/>
      <c r="AX305" s="279"/>
      <c r="AY305" s="279"/>
      <c r="AZ305" s="279"/>
      <c r="BA305" s="279"/>
      <c r="BB305" s="279"/>
      <c r="BC305" s="293"/>
      <c r="BD305" s="319"/>
      <c r="BE305" s="293"/>
      <c r="BF305" s="319"/>
      <c r="BG305" s="293"/>
      <c r="BH305" s="293"/>
      <c r="BI305" s="337">
        <v>170272</v>
      </c>
      <c r="BJ305" s="338">
        <v>0</v>
      </c>
      <c r="BK305" s="126"/>
    </row>
    <row r="306" spans="1:63" ht="15.75">
      <c r="A306" s="314">
        <v>504337</v>
      </c>
      <c r="B306" s="125" t="s">
        <v>1291</v>
      </c>
      <c r="C306" s="124" t="s">
        <v>1292</v>
      </c>
      <c r="D306" s="126">
        <v>211478</v>
      </c>
      <c r="E306" s="148" t="s">
        <v>1293</v>
      </c>
      <c r="F306" s="148" t="s">
        <v>1294</v>
      </c>
      <c r="G306" s="127" t="s">
        <v>46</v>
      </c>
      <c r="H306" s="149" t="s">
        <v>628</v>
      </c>
      <c r="I306" s="126" t="s">
        <v>598</v>
      </c>
      <c r="J306" s="126" t="s">
        <v>645</v>
      </c>
      <c r="K306" s="128" t="s">
        <v>1295</v>
      </c>
      <c r="L306" s="121" t="s">
        <v>19</v>
      </c>
      <c r="M306" s="123" t="s">
        <v>832</v>
      </c>
      <c r="N306" s="129">
        <v>43191</v>
      </c>
      <c r="O306" s="129">
        <v>44104</v>
      </c>
      <c r="P306" s="129">
        <v>44397</v>
      </c>
      <c r="Q306" s="330">
        <v>48740</v>
      </c>
      <c r="R306" s="331"/>
      <c r="S306" s="324">
        <v>14370</v>
      </c>
      <c r="T306" s="324"/>
      <c r="U306" s="324">
        <v>5000</v>
      </c>
      <c r="V306" s="324"/>
      <c r="W306" s="324">
        <v>5000</v>
      </c>
      <c r="X306" s="324">
        <v>0</v>
      </c>
      <c r="Y306" s="312">
        <v>24370</v>
      </c>
      <c r="Z306" s="325">
        <v>24370</v>
      </c>
      <c r="AA306" s="325">
        <v>0</v>
      </c>
      <c r="AB306" s="326"/>
      <c r="AC306" s="324">
        <v>14370</v>
      </c>
      <c r="AD306" s="324">
        <v>0</v>
      </c>
      <c r="AE306" s="324">
        <v>5000</v>
      </c>
      <c r="AF306" s="324">
        <v>0</v>
      </c>
      <c r="AG306" s="324">
        <v>5000</v>
      </c>
      <c r="AH306" s="324"/>
      <c r="AI306" s="312">
        <v>24370</v>
      </c>
      <c r="AJ306" s="327">
        <v>24370</v>
      </c>
      <c r="AK306" s="327">
        <v>0</v>
      </c>
      <c r="AL306" s="339"/>
      <c r="AM306" s="324">
        <v>0</v>
      </c>
      <c r="AN306" s="324">
        <v>0</v>
      </c>
      <c r="AO306" s="324">
        <v>0</v>
      </c>
      <c r="AP306" s="324">
        <v>0</v>
      </c>
      <c r="AQ306" s="324">
        <v>0</v>
      </c>
      <c r="AR306" s="324">
        <v>0</v>
      </c>
      <c r="AS306" s="293">
        <v>0</v>
      </c>
      <c r="AT306" s="327">
        <v>0</v>
      </c>
      <c r="AU306" s="327">
        <v>0</v>
      </c>
      <c r="AV306" s="279"/>
      <c r="AW306" s="279"/>
      <c r="AX306" s="279"/>
      <c r="AY306" s="279"/>
      <c r="AZ306" s="279"/>
      <c r="BA306" s="279"/>
      <c r="BB306" s="279"/>
      <c r="BC306" s="293"/>
      <c r="BD306" s="319"/>
      <c r="BE306" s="293"/>
      <c r="BF306" s="319"/>
      <c r="BG306" s="293"/>
      <c r="BH306" s="293"/>
      <c r="BI306" s="337">
        <v>48740</v>
      </c>
      <c r="BJ306" s="338">
        <v>0</v>
      </c>
      <c r="BK306" s="126"/>
    </row>
    <row r="307" spans="1:63" ht="15.75">
      <c r="A307" s="314">
        <v>501339</v>
      </c>
      <c r="B307" s="125" t="s">
        <v>1296</v>
      </c>
      <c r="C307" s="124" t="s">
        <v>1297</v>
      </c>
      <c r="D307" s="126">
        <v>211534</v>
      </c>
      <c r="E307" s="124" t="s">
        <v>1298</v>
      </c>
      <c r="F307" s="124" t="s">
        <v>1143</v>
      </c>
      <c r="G307" s="127" t="s">
        <v>68</v>
      </c>
      <c r="H307" s="126" t="s">
        <v>628</v>
      </c>
      <c r="I307" s="126" t="s">
        <v>598</v>
      </c>
      <c r="J307" s="126" t="s">
        <v>599</v>
      </c>
      <c r="K307" s="128" t="s">
        <v>600</v>
      </c>
      <c r="L307" s="121" t="s">
        <v>515</v>
      </c>
      <c r="M307" s="123" t="s">
        <v>857</v>
      </c>
      <c r="N307" s="129">
        <v>42614</v>
      </c>
      <c r="O307" s="129">
        <v>43951</v>
      </c>
      <c r="P307" s="129">
        <v>44117</v>
      </c>
      <c r="Q307" s="323">
        <v>328431</v>
      </c>
      <c r="R307" s="319"/>
      <c r="S307" s="324">
        <v>69000</v>
      </c>
      <c r="T307" s="324">
        <v>4500</v>
      </c>
      <c r="U307" s="324">
        <v>0</v>
      </c>
      <c r="V307" s="324"/>
      <c r="W307" s="324">
        <v>7477</v>
      </c>
      <c r="X307" s="324">
        <v>0</v>
      </c>
      <c r="Y307" s="312">
        <v>80977</v>
      </c>
      <c r="Z307" s="325">
        <v>80977</v>
      </c>
      <c r="AA307" s="325">
        <v>0</v>
      </c>
      <c r="AB307" s="326"/>
      <c r="AC307" s="324">
        <v>90000</v>
      </c>
      <c r="AD307" s="324">
        <v>4500</v>
      </c>
      <c r="AE307" s="324">
        <v>0</v>
      </c>
      <c r="AF307" s="324">
        <v>31477</v>
      </c>
      <c r="AG307" s="324">
        <v>0</v>
      </c>
      <c r="AH307" s="324"/>
      <c r="AI307" s="312">
        <v>125977</v>
      </c>
      <c r="AJ307" s="327">
        <v>125977</v>
      </c>
      <c r="AK307" s="327">
        <v>0</v>
      </c>
      <c r="AL307" s="328"/>
      <c r="AM307" s="279">
        <v>90000</v>
      </c>
      <c r="AN307" s="279">
        <v>0</v>
      </c>
      <c r="AO307" s="279">
        <v>0</v>
      </c>
      <c r="AP307" s="279"/>
      <c r="AQ307" s="279">
        <v>31477</v>
      </c>
      <c r="AR307" s="279">
        <v>0</v>
      </c>
      <c r="AS307" s="293">
        <v>121477</v>
      </c>
      <c r="AT307" s="327">
        <v>121477</v>
      </c>
      <c r="AU307" s="327">
        <v>0</v>
      </c>
      <c r="AV307" s="328"/>
      <c r="AW307" s="279"/>
      <c r="AX307" s="279"/>
      <c r="AY307" s="279"/>
      <c r="AZ307" s="279"/>
      <c r="BA307" s="279"/>
      <c r="BB307" s="279"/>
      <c r="BC307" s="293"/>
      <c r="BD307" s="319"/>
      <c r="BE307" s="293"/>
      <c r="BF307" s="319"/>
      <c r="BG307" s="293"/>
      <c r="BH307" s="293"/>
      <c r="BI307" s="337">
        <v>328431</v>
      </c>
      <c r="BJ307" s="338">
        <v>0</v>
      </c>
      <c r="BK307" s="126"/>
    </row>
    <row r="308" spans="1:63" ht="15.75">
      <c r="A308" s="314">
        <v>501348</v>
      </c>
      <c r="B308" s="125" t="s">
        <v>1296</v>
      </c>
      <c r="C308" s="124" t="s">
        <v>1297</v>
      </c>
      <c r="D308" s="126">
        <v>211534</v>
      </c>
      <c r="E308" s="124" t="s">
        <v>1298</v>
      </c>
      <c r="F308" s="124" t="s">
        <v>1143</v>
      </c>
      <c r="G308" s="127" t="s">
        <v>68</v>
      </c>
      <c r="H308" s="126" t="s">
        <v>628</v>
      </c>
      <c r="I308" s="126" t="s">
        <v>598</v>
      </c>
      <c r="J308" s="126" t="s">
        <v>599</v>
      </c>
      <c r="K308" s="128" t="s">
        <v>600</v>
      </c>
      <c r="L308" s="121" t="s">
        <v>515</v>
      </c>
      <c r="M308" s="123" t="s">
        <v>934</v>
      </c>
      <c r="N308" s="129">
        <v>42614</v>
      </c>
      <c r="O308" s="129">
        <v>44286</v>
      </c>
      <c r="P308" s="129">
        <v>44334</v>
      </c>
      <c r="Q308" s="323">
        <v>75000</v>
      </c>
      <c r="R308" s="319"/>
      <c r="S308" s="324">
        <v>25000</v>
      </c>
      <c r="T308" s="324">
        <v>0</v>
      </c>
      <c r="U308" s="324">
        <v>0</v>
      </c>
      <c r="V308" s="324"/>
      <c r="W308" s="324">
        <v>0</v>
      </c>
      <c r="X308" s="324">
        <v>0</v>
      </c>
      <c r="Y308" s="312">
        <v>25000</v>
      </c>
      <c r="Z308" s="325">
        <v>25000</v>
      </c>
      <c r="AA308" s="325">
        <v>0</v>
      </c>
      <c r="AB308" s="326"/>
      <c r="AC308" s="324">
        <v>25000</v>
      </c>
      <c r="AD308" s="324">
        <v>0</v>
      </c>
      <c r="AE308" s="324">
        <v>0</v>
      </c>
      <c r="AF308" s="324">
        <v>0</v>
      </c>
      <c r="AG308" s="324">
        <v>0</v>
      </c>
      <c r="AH308" s="324"/>
      <c r="AI308" s="312">
        <v>25000</v>
      </c>
      <c r="AJ308" s="327">
        <v>25000</v>
      </c>
      <c r="AK308" s="327">
        <v>0</v>
      </c>
      <c r="AL308" s="328"/>
      <c r="AM308" s="279">
        <v>25000</v>
      </c>
      <c r="AN308" s="279">
        <v>0</v>
      </c>
      <c r="AO308" s="279">
        <v>0</v>
      </c>
      <c r="AP308" s="279"/>
      <c r="AQ308" s="279">
        <v>0</v>
      </c>
      <c r="AR308" s="279">
        <v>0</v>
      </c>
      <c r="AS308" s="293">
        <v>25000</v>
      </c>
      <c r="AT308" s="327">
        <v>25000</v>
      </c>
      <c r="AU308" s="327">
        <v>0</v>
      </c>
      <c r="AV308" s="328"/>
      <c r="AW308" s="279"/>
      <c r="AX308" s="279"/>
      <c r="AY308" s="279"/>
      <c r="AZ308" s="279"/>
      <c r="BA308" s="279"/>
      <c r="BB308" s="279"/>
      <c r="BC308" s="293"/>
      <c r="BD308" s="319"/>
      <c r="BE308" s="293"/>
      <c r="BF308" s="319"/>
      <c r="BG308" s="293"/>
      <c r="BH308" s="293"/>
      <c r="BI308" s="337">
        <v>75000</v>
      </c>
      <c r="BJ308" s="338">
        <v>0</v>
      </c>
      <c r="BK308" s="126"/>
    </row>
    <row r="309" spans="1:63" ht="15.75">
      <c r="A309" s="314">
        <v>502314</v>
      </c>
      <c r="B309" s="125" t="s">
        <v>1296</v>
      </c>
      <c r="C309" s="124" t="s">
        <v>1297</v>
      </c>
      <c r="D309" s="126">
        <v>211534</v>
      </c>
      <c r="E309" s="124" t="s">
        <v>1298</v>
      </c>
      <c r="F309" s="124" t="s">
        <v>1143</v>
      </c>
      <c r="G309" s="127" t="s">
        <v>68</v>
      </c>
      <c r="H309" s="126" t="s">
        <v>597</v>
      </c>
      <c r="I309" s="126" t="s">
        <v>598</v>
      </c>
      <c r="J309" s="126" t="s">
        <v>599</v>
      </c>
      <c r="K309" s="128" t="s">
        <v>600</v>
      </c>
      <c r="L309" s="121" t="s">
        <v>652</v>
      </c>
      <c r="M309" s="123" t="s">
        <v>748</v>
      </c>
      <c r="N309" s="129">
        <v>42826</v>
      </c>
      <c r="O309" s="129">
        <v>43373</v>
      </c>
      <c r="P309" s="129">
        <v>43373</v>
      </c>
      <c r="Q309" s="323">
        <v>55000</v>
      </c>
      <c r="R309" s="319"/>
      <c r="S309" s="324">
        <v>55000</v>
      </c>
      <c r="T309" s="324">
        <v>0</v>
      </c>
      <c r="U309" s="324">
        <v>0</v>
      </c>
      <c r="V309" s="324"/>
      <c r="W309" s="324">
        <v>0</v>
      </c>
      <c r="X309" s="324">
        <v>0</v>
      </c>
      <c r="Y309" s="312">
        <v>55000</v>
      </c>
      <c r="Z309" s="325">
        <v>55000</v>
      </c>
      <c r="AA309" s="325">
        <v>0</v>
      </c>
      <c r="AB309" s="326"/>
      <c r="AC309" s="324" t="s">
        <v>602</v>
      </c>
      <c r="AD309" s="324" t="s">
        <v>602</v>
      </c>
      <c r="AE309" s="324" t="s">
        <v>602</v>
      </c>
      <c r="AF309" s="324" t="s">
        <v>602</v>
      </c>
      <c r="AG309" s="324" t="s">
        <v>602</v>
      </c>
      <c r="AH309" s="324"/>
      <c r="AI309" s="312">
        <v>0</v>
      </c>
      <c r="AJ309" s="327">
        <v>0</v>
      </c>
      <c r="AK309" s="327">
        <v>0</v>
      </c>
      <c r="AL309" s="328"/>
      <c r="AM309" s="324">
        <v>0</v>
      </c>
      <c r="AN309" s="324">
        <v>0</v>
      </c>
      <c r="AO309" s="324">
        <v>0</v>
      </c>
      <c r="AP309" s="324">
        <v>0</v>
      </c>
      <c r="AQ309" s="324">
        <v>0</v>
      </c>
      <c r="AR309" s="324">
        <v>0</v>
      </c>
      <c r="AS309" s="293">
        <v>0</v>
      </c>
      <c r="AT309" s="327">
        <v>0</v>
      </c>
      <c r="AU309" s="327">
        <v>0</v>
      </c>
      <c r="AV309" s="328"/>
      <c r="AW309" s="279"/>
      <c r="AX309" s="279"/>
      <c r="AY309" s="279"/>
      <c r="AZ309" s="279"/>
      <c r="BA309" s="279"/>
      <c r="BB309" s="279"/>
      <c r="BC309" s="293"/>
      <c r="BD309" s="319"/>
      <c r="BE309" s="293"/>
      <c r="BF309" s="319"/>
      <c r="BG309" s="293"/>
      <c r="BH309" s="293"/>
      <c r="BI309" s="337">
        <v>55000</v>
      </c>
      <c r="BJ309" s="338">
        <v>0</v>
      </c>
      <c r="BK309" s="124" t="s">
        <v>749</v>
      </c>
    </row>
    <row r="310" spans="1:63" ht="15.75">
      <c r="A310" s="314">
        <v>502577</v>
      </c>
      <c r="B310" s="125" t="s">
        <v>1296</v>
      </c>
      <c r="C310" s="124" t="s">
        <v>1297</v>
      </c>
      <c r="D310" s="126">
        <v>211534</v>
      </c>
      <c r="E310" s="124" t="s">
        <v>1298</v>
      </c>
      <c r="F310" s="124" t="s">
        <v>1143</v>
      </c>
      <c r="G310" s="127" t="s">
        <v>68</v>
      </c>
      <c r="H310" s="126" t="s">
        <v>597</v>
      </c>
      <c r="I310" s="126" t="s">
        <v>598</v>
      </c>
      <c r="J310" s="126" t="s">
        <v>599</v>
      </c>
      <c r="K310" s="128" t="s">
        <v>600</v>
      </c>
      <c r="L310" s="121" t="s">
        <v>19</v>
      </c>
      <c r="M310" s="123" t="s">
        <v>970</v>
      </c>
      <c r="N310" s="129">
        <v>42826</v>
      </c>
      <c r="O310" s="129">
        <v>43555</v>
      </c>
      <c r="P310" s="129">
        <v>43738</v>
      </c>
      <c r="Q310" s="323">
        <v>90000</v>
      </c>
      <c r="R310" s="319"/>
      <c r="S310" s="324">
        <v>30000</v>
      </c>
      <c r="T310" s="324">
        <v>0</v>
      </c>
      <c r="U310" s="324">
        <v>0</v>
      </c>
      <c r="V310" s="324">
        <v>0</v>
      </c>
      <c r="W310" s="324">
        <v>20000</v>
      </c>
      <c r="X310" s="324">
        <v>0</v>
      </c>
      <c r="Y310" s="312">
        <v>50000</v>
      </c>
      <c r="Z310" s="325">
        <v>50000</v>
      </c>
      <c r="AA310" s="325">
        <v>0</v>
      </c>
      <c r="AB310" s="326"/>
      <c r="AC310" s="324">
        <v>20000</v>
      </c>
      <c r="AD310" s="324">
        <v>0</v>
      </c>
      <c r="AE310" s="324">
        <v>0</v>
      </c>
      <c r="AF310" s="324"/>
      <c r="AG310" s="324">
        <v>20000</v>
      </c>
      <c r="AH310" s="324"/>
      <c r="AI310" s="312">
        <v>40000</v>
      </c>
      <c r="AJ310" s="327">
        <v>40000</v>
      </c>
      <c r="AK310" s="327">
        <v>0</v>
      </c>
      <c r="AL310" s="339"/>
      <c r="AM310" s="324">
        <v>0</v>
      </c>
      <c r="AN310" s="324">
        <v>0</v>
      </c>
      <c r="AO310" s="324">
        <v>0</v>
      </c>
      <c r="AP310" s="324">
        <v>0</v>
      </c>
      <c r="AQ310" s="324">
        <v>0</v>
      </c>
      <c r="AR310" s="324">
        <v>0</v>
      </c>
      <c r="AS310" s="293">
        <v>0</v>
      </c>
      <c r="AT310" s="327">
        <v>0</v>
      </c>
      <c r="AU310" s="327">
        <v>0</v>
      </c>
      <c r="AV310" s="328"/>
      <c r="AW310" s="279"/>
      <c r="AX310" s="279"/>
      <c r="AY310" s="279"/>
      <c r="AZ310" s="279"/>
      <c r="BA310" s="279"/>
      <c r="BB310" s="279"/>
      <c r="BC310" s="293"/>
      <c r="BD310" s="319"/>
      <c r="BE310" s="293"/>
      <c r="BF310" s="319"/>
      <c r="BG310" s="293"/>
      <c r="BH310" s="293"/>
      <c r="BI310" s="337">
        <v>90000</v>
      </c>
      <c r="BJ310" s="338">
        <v>0</v>
      </c>
      <c r="BK310" s="126"/>
    </row>
    <row r="311" spans="1:63" ht="15.75">
      <c r="A311" s="314">
        <v>509882</v>
      </c>
      <c r="B311" s="125" t="s">
        <v>1296</v>
      </c>
      <c r="C311" s="124" t="s">
        <v>1297</v>
      </c>
      <c r="D311" s="126">
        <v>211534</v>
      </c>
      <c r="E311" s="148" t="s">
        <v>1298</v>
      </c>
      <c r="F311" s="148" t="s">
        <v>1143</v>
      </c>
      <c r="G311" s="127" t="s">
        <v>68</v>
      </c>
      <c r="H311" s="149" t="s">
        <v>597</v>
      </c>
      <c r="I311" s="126" t="s">
        <v>598</v>
      </c>
      <c r="J311" s="126" t="s">
        <v>599</v>
      </c>
      <c r="K311" s="128" t="s">
        <v>600</v>
      </c>
      <c r="L311" s="121" t="s">
        <v>19</v>
      </c>
      <c r="M311" s="123" t="s">
        <v>889</v>
      </c>
      <c r="N311" s="129">
        <v>44044</v>
      </c>
      <c r="O311" s="129">
        <v>44592</v>
      </c>
      <c r="P311" s="129">
        <v>44592</v>
      </c>
      <c r="Q311" s="323">
        <v>39365</v>
      </c>
      <c r="R311" s="319"/>
      <c r="S311" s="324">
        <v>24000</v>
      </c>
      <c r="T311" s="324"/>
      <c r="U311" s="324">
        <v>15365</v>
      </c>
      <c r="V311" s="324"/>
      <c r="W311" s="324"/>
      <c r="X311" s="324"/>
      <c r="Y311" s="312">
        <v>39365</v>
      </c>
      <c r="Z311" s="325">
        <v>39365</v>
      </c>
      <c r="AA311" s="325">
        <v>0</v>
      </c>
      <c r="AB311" s="326"/>
      <c r="AC311" s="324"/>
      <c r="AD311" s="324"/>
      <c r="AE311" s="324"/>
      <c r="AF311" s="324"/>
      <c r="AG311" s="324"/>
      <c r="AH311" s="324"/>
      <c r="AI311" s="312">
        <v>0</v>
      </c>
      <c r="AJ311" s="327">
        <v>0</v>
      </c>
      <c r="AK311" s="327">
        <v>0</v>
      </c>
      <c r="AL311" s="328"/>
      <c r="AM311" s="324"/>
      <c r="AN311" s="324"/>
      <c r="AO311" s="324"/>
      <c r="AP311" s="324"/>
      <c r="AQ311" s="324"/>
      <c r="AR311" s="324"/>
      <c r="AS311" s="293">
        <v>0</v>
      </c>
      <c r="AT311" s="327">
        <v>0</v>
      </c>
      <c r="AU311" s="327">
        <v>0</v>
      </c>
      <c r="AV311" s="328"/>
      <c r="AW311" s="279"/>
      <c r="AX311" s="279"/>
      <c r="AY311" s="279"/>
      <c r="AZ311" s="279"/>
      <c r="BA311" s="279"/>
      <c r="BB311" s="279"/>
      <c r="BC311" s="293"/>
      <c r="BD311" s="319"/>
      <c r="BE311" s="293"/>
      <c r="BF311" s="319"/>
      <c r="BG311" s="293"/>
      <c r="BH311" s="293"/>
      <c r="BI311" s="337">
        <v>39365</v>
      </c>
      <c r="BJ311" s="338">
        <v>0</v>
      </c>
      <c r="BK311" s="126"/>
    </row>
    <row r="312" spans="1:63" ht="15.75">
      <c r="A312" s="378">
        <v>503281</v>
      </c>
      <c r="B312" s="125" t="s">
        <v>1299</v>
      </c>
      <c r="C312" s="124" t="s">
        <v>1300</v>
      </c>
      <c r="D312" s="126">
        <v>211789</v>
      </c>
      <c r="E312" s="121" t="s">
        <v>1301</v>
      </c>
      <c r="F312" s="121" t="s">
        <v>1302</v>
      </c>
      <c r="G312" s="127" t="s">
        <v>75</v>
      </c>
      <c r="H312" s="126" t="s">
        <v>597</v>
      </c>
      <c r="I312" s="126" t="s">
        <v>598</v>
      </c>
      <c r="J312" s="126" t="s">
        <v>635</v>
      </c>
      <c r="K312" s="128" t="s">
        <v>911</v>
      </c>
      <c r="L312" s="121" t="s">
        <v>19</v>
      </c>
      <c r="M312" s="126" t="s">
        <v>1303</v>
      </c>
      <c r="N312" s="129">
        <v>42917</v>
      </c>
      <c r="O312" s="129">
        <v>44773</v>
      </c>
      <c r="P312" s="129">
        <v>43190</v>
      </c>
      <c r="Q312" s="330">
        <v>50000</v>
      </c>
      <c r="R312" s="331"/>
      <c r="S312" s="324">
        <v>30500</v>
      </c>
      <c r="T312" s="324">
        <v>0</v>
      </c>
      <c r="U312" s="324">
        <v>15000</v>
      </c>
      <c r="V312" s="324">
        <v>0</v>
      </c>
      <c r="W312" s="324">
        <v>4500</v>
      </c>
      <c r="X312" s="324">
        <v>0</v>
      </c>
      <c r="Y312" s="312">
        <v>50000</v>
      </c>
      <c r="Z312" s="325">
        <v>50000</v>
      </c>
      <c r="AA312" s="325">
        <v>0</v>
      </c>
      <c r="AB312" s="326"/>
      <c r="AC312" s="324" t="s">
        <v>602</v>
      </c>
      <c r="AD312" s="324" t="s">
        <v>602</v>
      </c>
      <c r="AE312" s="324" t="s">
        <v>602</v>
      </c>
      <c r="AF312" s="324" t="s">
        <v>602</v>
      </c>
      <c r="AG312" s="324" t="s">
        <v>602</v>
      </c>
      <c r="AH312" s="324"/>
      <c r="AI312" s="312">
        <v>0</v>
      </c>
      <c r="AJ312" s="327">
        <v>0</v>
      </c>
      <c r="AK312" s="327">
        <v>0</v>
      </c>
      <c r="AL312" s="339"/>
      <c r="AM312" s="324">
        <v>0</v>
      </c>
      <c r="AN312" s="324">
        <v>0</v>
      </c>
      <c r="AO312" s="324">
        <v>0</v>
      </c>
      <c r="AP312" s="324">
        <v>0</v>
      </c>
      <c r="AQ312" s="324">
        <v>0</v>
      </c>
      <c r="AR312" s="324">
        <v>0</v>
      </c>
      <c r="AS312" s="293">
        <v>0</v>
      </c>
      <c r="AT312" s="327">
        <v>0</v>
      </c>
      <c r="AU312" s="327">
        <v>0</v>
      </c>
      <c r="AV312" s="328"/>
      <c r="AW312" s="279"/>
      <c r="AX312" s="279"/>
      <c r="AY312" s="279"/>
      <c r="AZ312" s="279"/>
      <c r="BA312" s="279"/>
      <c r="BB312" s="279"/>
      <c r="BC312" s="293"/>
      <c r="BD312" s="319"/>
      <c r="BE312" s="293"/>
      <c r="BF312" s="319"/>
      <c r="BG312" s="293"/>
      <c r="BH312" s="293"/>
      <c r="BI312" s="337">
        <v>50000</v>
      </c>
      <c r="BJ312" s="338">
        <v>0</v>
      </c>
      <c r="BK312" s="280" t="s">
        <v>1304</v>
      </c>
    </row>
    <row r="313" spans="1:63" ht="15.75">
      <c r="A313" s="314">
        <v>500120</v>
      </c>
      <c r="B313" s="125" t="s">
        <v>1305</v>
      </c>
      <c r="C313" s="124" t="s">
        <v>1306</v>
      </c>
      <c r="D313" s="126">
        <v>211800</v>
      </c>
      <c r="E313" s="121" t="s">
        <v>1307</v>
      </c>
      <c r="F313" s="121" t="s">
        <v>1308</v>
      </c>
      <c r="G313" s="127" t="s">
        <v>46</v>
      </c>
      <c r="H313" s="123" t="s">
        <v>597</v>
      </c>
      <c r="I313" s="126" t="s">
        <v>609</v>
      </c>
      <c r="J313" s="126" t="s">
        <v>610</v>
      </c>
      <c r="K313" s="128" t="s">
        <v>819</v>
      </c>
      <c r="L313" s="121" t="s">
        <v>652</v>
      </c>
      <c r="M313" s="123" t="s">
        <v>638</v>
      </c>
      <c r="N313" s="129">
        <v>42339</v>
      </c>
      <c r="O313" s="129">
        <v>42551</v>
      </c>
      <c r="P313" s="129">
        <v>42668</v>
      </c>
      <c r="Q313" s="330">
        <v>25000</v>
      </c>
      <c r="R313" s="324">
        <v>25000</v>
      </c>
      <c r="S313" s="324">
        <v>0</v>
      </c>
      <c r="T313" s="324">
        <v>0</v>
      </c>
      <c r="U313" s="324">
        <v>0</v>
      </c>
      <c r="V313" s="324"/>
      <c r="W313" s="324">
        <v>0</v>
      </c>
      <c r="X313" s="324">
        <v>0</v>
      </c>
      <c r="Y313" s="312">
        <v>25000</v>
      </c>
      <c r="Z313" s="325">
        <v>25000</v>
      </c>
      <c r="AA313" s="325">
        <v>0</v>
      </c>
      <c r="AB313" s="326"/>
      <c r="AC313" s="324" t="s">
        <v>602</v>
      </c>
      <c r="AD313" s="324" t="s">
        <v>602</v>
      </c>
      <c r="AE313" s="324" t="s">
        <v>602</v>
      </c>
      <c r="AF313" s="324" t="s">
        <v>602</v>
      </c>
      <c r="AG313" s="324" t="s">
        <v>602</v>
      </c>
      <c r="AH313" s="324"/>
      <c r="AI313" s="312">
        <v>0</v>
      </c>
      <c r="AJ313" s="327">
        <v>0</v>
      </c>
      <c r="AK313" s="327">
        <v>0</v>
      </c>
      <c r="AL313" s="328"/>
      <c r="AM313" s="324">
        <v>0</v>
      </c>
      <c r="AN313" s="324">
        <v>0</v>
      </c>
      <c r="AO313" s="324">
        <v>0</v>
      </c>
      <c r="AP313" s="324">
        <v>0</v>
      </c>
      <c r="AQ313" s="324">
        <v>0</v>
      </c>
      <c r="AR313" s="324">
        <v>0</v>
      </c>
      <c r="AS313" s="293">
        <v>0</v>
      </c>
      <c r="AT313" s="327">
        <v>0</v>
      </c>
      <c r="AU313" s="327">
        <v>0</v>
      </c>
      <c r="AV313" s="328"/>
      <c r="AW313" s="279"/>
      <c r="AX313" s="279"/>
      <c r="AY313" s="279"/>
      <c r="AZ313" s="279"/>
      <c r="BA313" s="279"/>
      <c r="BB313" s="279"/>
      <c r="BC313" s="293"/>
      <c r="BD313" s="319"/>
      <c r="BE313" s="293"/>
      <c r="BF313" s="319"/>
      <c r="BG313" s="293"/>
      <c r="BH313" s="293"/>
      <c r="BI313" s="337">
        <v>25000</v>
      </c>
      <c r="BJ313" s="338">
        <v>0</v>
      </c>
      <c r="BK313" s="126" t="s">
        <v>766</v>
      </c>
    </row>
    <row r="314" spans="1:63" ht="15.75">
      <c r="A314" s="314">
        <v>501339</v>
      </c>
      <c r="B314" s="125" t="s">
        <v>1309</v>
      </c>
      <c r="C314" s="124" t="s">
        <v>1310</v>
      </c>
      <c r="D314" s="126">
        <v>211894</v>
      </c>
      <c r="E314" s="124" t="s">
        <v>1311</v>
      </c>
      <c r="F314" s="124" t="s">
        <v>1312</v>
      </c>
      <c r="G314" s="127" t="s">
        <v>46</v>
      </c>
      <c r="H314" s="126" t="s">
        <v>628</v>
      </c>
      <c r="I314" s="126" t="s">
        <v>598</v>
      </c>
      <c r="J314" s="126" t="s">
        <v>635</v>
      </c>
      <c r="K314" s="128" t="s">
        <v>636</v>
      </c>
      <c r="L314" s="121" t="s">
        <v>515</v>
      </c>
      <c r="M314" s="123" t="s">
        <v>857</v>
      </c>
      <c r="N314" s="129">
        <v>42614</v>
      </c>
      <c r="O314" s="129">
        <v>43951</v>
      </c>
      <c r="P314" s="129">
        <v>44117</v>
      </c>
      <c r="Q314" s="323">
        <v>316000</v>
      </c>
      <c r="R314" s="319"/>
      <c r="S314" s="324">
        <v>81000</v>
      </c>
      <c r="T314" s="324">
        <v>0</v>
      </c>
      <c r="U314" s="324">
        <v>15000</v>
      </c>
      <c r="V314" s="324"/>
      <c r="W314" s="324">
        <v>8000</v>
      </c>
      <c r="X314" s="324">
        <v>0</v>
      </c>
      <c r="Y314" s="312">
        <v>104000</v>
      </c>
      <c r="Z314" s="325">
        <v>104000</v>
      </c>
      <c r="AA314" s="325">
        <v>0</v>
      </c>
      <c r="AB314" s="326"/>
      <c r="AC314" s="324">
        <v>81000</v>
      </c>
      <c r="AD314" s="324">
        <v>0</v>
      </c>
      <c r="AE314" s="324">
        <v>15000</v>
      </c>
      <c r="AF314" s="324">
        <v>10000</v>
      </c>
      <c r="AG314" s="324">
        <v>0</v>
      </c>
      <c r="AH314" s="324"/>
      <c r="AI314" s="312">
        <v>106000</v>
      </c>
      <c r="AJ314" s="327">
        <v>106000</v>
      </c>
      <c r="AK314" s="327">
        <v>0</v>
      </c>
      <c r="AL314" s="328"/>
      <c r="AM314" s="279">
        <v>81000</v>
      </c>
      <c r="AN314" s="279">
        <v>0</v>
      </c>
      <c r="AO314" s="279">
        <v>15000</v>
      </c>
      <c r="AP314" s="279"/>
      <c r="AQ314" s="279">
        <v>10000</v>
      </c>
      <c r="AR314" s="279">
        <v>0</v>
      </c>
      <c r="AS314" s="293">
        <v>106000</v>
      </c>
      <c r="AT314" s="327">
        <v>106000</v>
      </c>
      <c r="AU314" s="327">
        <v>0</v>
      </c>
      <c r="AV314" s="328"/>
      <c r="AW314" s="279"/>
      <c r="AX314" s="279"/>
      <c r="AY314" s="279"/>
      <c r="AZ314" s="279"/>
      <c r="BA314" s="279"/>
      <c r="BB314" s="279"/>
      <c r="BC314" s="293"/>
      <c r="BD314" s="319"/>
      <c r="BE314" s="293"/>
      <c r="BF314" s="319"/>
      <c r="BG314" s="293"/>
      <c r="BH314" s="293"/>
      <c r="BI314" s="337">
        <v>316000</v>
      </c>
      <c r="BJ314" s="338">
        <v>0</v>
      </c>
      <c r="BK314" s="126"/>
    </row>
    <row r="315" spans="1:63" ht="15.75">
      <c r="A315" s="314">
        <v>499977</v>
      </c>
      <c r="B315" s="125" t="s">
        <v>1313</v>
      </c>
      <c r="C315" s="124" t="s">
        <v>84</v>
      </c>
      <c r="D315" s="126">
        <v>211963</v>
      </c>
      <c r="E315" s="124" t="s">
        <v>1314</v>
      </c>
      <c r="F315" s="124" t="s">
        <v>1315</v>
      </c>
      <c r="G315" s="127" t="s">
        <v>46</v>
      </c>
      <c r="H315" s="126" t="s">
        <v>597</v>
      </c>
      <c r="I315" s="126" t="s">
        <v>598</v>
      </c>
      <c r="J315" s="126" t="s">
        <v>696</v>
      </c>
      <c r="K315" s="128" t="s">
        <v>697</v>
      </c>
      <c r="L315" s="121" t="s">
        <v>637</v>
      </c>
      <c r="M315" s="123" t="s">
        <v>638</v>
      </c>
      <c r="N315" s="129">
        <v>42248</v>
      </c>
      <c r="O315" s="129">
        <v>42643</v>
      </c>
      <c r="P315" s="129">
        <v>42670</v>
      </c>
      <c r="Q315" s="323">
        <v>142541.56</v>
      </c>
      <c r="R315" s="324">
        <v>69999</v>
      </c>
      <c r="S315" s="324"/>
      <c r="T315" s="324">
        <v>10000</v>
      </c>
      <c r="U315" s="324">
        <v>0</v>
      </c>
      <c r="V315" s="324"/>
      <c r="W315" s="324">
        <v>4210</v>
      </c>
      <c r="X315" s="324">
        <v>58333</v>
      </c>
      <c r="Y315" s="312">
        <v>142541.56</v>
      </c>
      <c r="Z315" s="325">
        <v>142542</v>
      </c>
      <c r="AA315" s="325">
        <v>0.44000000000232831</v>
      </c>
      <c r="AB315" s="326"/>
      <c r="AC315" s="324" t="s">
        <v>602</v>
      </c>
      <c r="AD315" s="324" t="s">
        <v>602</v>
      </c>
      <c r="AE315" s="324" t="s">
        <v>602</v>
      </c>
      <c r="AF315" s="324" t="s">
        <v>602</v>
      </c>
      <c r="AG315" s="324" t="s">
        <v>602</v>
      </c>
      <c r="AH315" s="324"/>
      <c r="AI315" s="312">
        <v>0</v>
      </c>
      <c r="AJ315" s="327">
        <v>0</v>
      </c>
      <c r="AK315" s="327">
        <v>0</v>
      </c>
      <c r="AL315" s="328"/>
      <c r="AM315" s="324">
        <v>0</v>
      </c>
      <c r="AN315" s="324">
        <v>0</v>
      </c>
      <c r="AO315" s="324">
        <v>0</v>
      </c>
      <c r="AP315" s="324">
        <v>0</v>
      </c>
      <c r="AQ315" s="324">
        <v>0</v>
      </c>
      <c r="AR315" s="324">
        <v>0</v>
      </c>
      <c r="AS315" s="293">
        <v>0</v>
      </c>
      <c r="AT315" s="327">
        <v>0</v>
      </c>
      <c r="AU315" s="327">
        <v>0</v>
      </c>
      <c r="AV315" s="328"/>
      <c r="AW315" s="324" t="s">
        <v>602</v>
      </c>
      <c r="AX315" s="324" t="s">
        <v>602</v>
      </c>
      <c r="AY315" s="324" t="s">
        <v>602</v>
      </c>
      <c r="AZ315" s="324" t="s">
        <v>602</v>
      </c>
      <c r="BA315" s="324"/>
      <c r="BB315" s="324" t="s">
        <v>602</v>
      </c>
      <c r="BC315" s="293"/>
      <c r="BD315" s="319"/>
      <c r="BE315" s="293"/>
      <c r="BF315" s="319"/>
      <c r="BG315" s="293"/>
      <c r="BH315" s="293"/>
      <c r="BI315" s="337">
        <v>142541.56</v>
      </c>
      <c r="BJ315" s="338">
        <v>0</v>
      </c>
      <c r="BK315" s="126" t="s">
        <v>1316</v>
      </c>
    </row>
    <row r="316" spans="1:63" ht="15.75">
      <c r="A316" s="314">
        <v>501333</v>
      </c>
      <c r="B316" s="125" t="s">
        <v>1313</v>
      </c>
      <c r="C316" s="124" t="s">
        <v>84</v>
      </c>
      <c r="D316" s="126">
        <v>211963</v>
      </c>
      <c r="E316" s="124" t="s">
        <v>1314</v>
      </c>
      <c r="F316" s="124" t="s">
        <v>1315</v>
      </c>
      <c r="G316" s="127" t="s">
        <v>46</v>
      </c>
      <c r="H316" s="126" t="s">
        <v>597</v>
      </c>
      <c r="I316" s="126" t="s">
        <v>598</v>
      </c>
      <c r="J316" s="126" t="s">
        <v>696</v>
      </c>
      <c r="K316" s="128" t="s">
        <v>697</v>
      </c>
      <c r="L316" s="121" t="s">
        <v>515</v>
      </c>
      <c r="M316" s="123" t="s">
        <v>797</v>
      </c>
      <c r="N316" s="129">
        <v>42614</v>
      </c>
      <c r="O316" s="129">
        <v>43830</v>
      </c>
      <c r="P316" s="129">
        <v>44144</v>
      </c>
      <c r="Q316" s="323">
        <v>210000</v>
      </c>
      <c r="R316" s="319"/>
      <c r="S316" s="324">
        <v>70000</v>
      </c>
      <c r="T316" s="324">
        <v>0</v>
      </c>
      <c r="U316" s="324">
        <v>0</v>
      </c>
      <c r="V316" s="324"/>
      <c r="W316" s="324">
        <v>0</v>
      </c>
      <c r="X316" s="324">
        <v>0</v>
      </c>
      <c r="Y316" s="312">
        <v>70000</v>
      </c>
      <c r="Z316" s="325">
        <v>70000</v>
      </c>
      <c r="AA316" s="325">
        <v>0</v>
      </c>
      <c r="AB316" s="326"/>
      <c r="AC316" s="324">
        <v>70000</v>
      </c>
      <c r="AD316" s="324">
        <v>0</v>
      </c>
      <c r="AE316" s="324">
        <v>0</v>
      </c>
      <c r="AF316" s="324">
        <v>0</v>
      </c>
      <c r="AG316" s="324">
        <v>0</v>
      </c>
      <c r="AH316" s="324"/>
      <c r="AI316" s="312">
        <v>70000</v>
      </c>
      <c r="AJ316" s="327">
        <v>70000</v>
      </c>
      <c r="AK316" s="327">
        <v>0</v>
      </c>
      <c r="AL316" s="328"/>
      <c r="AM316" s="279">
        <v>70000</v>
      </c>
      <c r="AN316" s="279">
        <v>0</v>
      </c>
      <c r="AO316" s="279">
        <v>0</v>
      </c>
      <c r="AP316" s="279"/>
      <c r="AQ316" s="279">
        <v>0</v>
      </c>
      <c r="AR316" s="279">
        <v>0</v>
      </c>
      <c r="AS316" s="293">
        <v>70000</v>
      </c>
      <c r="AT316" s="327">
        <v>70000</v>
      </c>
      <c r="AU316" s="327">
        <v>0</v>
      </c>
      <c r="AV316" s="328"/>
      <c r="AW316" s="279"/>
      <c r="AX316" s="279"/>
      <c r="AY316" s="279"/>
      <c r="AZ316" s="279"/>
      <c r="BA316" s="279"/>
      <c r="BB316" s="279"/>
      <c r="BC316" s="293"/>
      <c r="BD316" s="319"/>
      <c r="BE316" s="293"/>
      <c r="BF316" s="319"/>
      <c r="BG316" s="293"/>
      <c r="BH316" s="293"/>
      <c r="BI316" s="337">
        <v>210000</v>
      </c>
      <c r="BJ316" s="338">
        <v>0</v>
      </c>
      <c r="BK316" s="126"/>
    </row>
    <row r="317" spans="1:63" ht="15.75">
      <c r="A317" s="314">
        <v>501334</v>
      </c>
      <c r="B317" s="340" t="s">
        <v>1313</v>
      </c>
      <c r="C317" s="124" t="s">
        <v>84</v>
      </c>
      <c r="D317" s="126">
        <v>211963</v>
      </c>
      <c r="E317" s="124" t="s">
        <v>1314</v>
      </c>
      <c r="F317" s="124" t="s">
        <v>1315</v>
      </c>
      <c r="G317" s="127" t="s">
        <v>46</v>
      </c>
      <c r="H317" s="126" t="s">
        <v>628</v>
      </c>
      <c r="I317" s="126" t="s">
        <v>598</v>
      </c>
      <c r="J317" s="126" t="s">
        <v>696</v>
      </c>
      <c r="K317" s="128" t="s">
        <v>697</v>
      </c>
      <c r="L317" s="121" t="s">
        <v>515</v>
      </c>
      <c r="M317" s="123" t="s">
        <v>840</v>
      </c>
      <c r="N317" s="129">
        <v>42614</v>
      </c>
      <c r="O317" s="129">
        <v>43708</v>
      </c>
      <c r="P317" s="129">
        <v>44144</v>
      </c>
      <c r="Q317" s="323">
        <v>150000</v>
      </c>
      <c r="R317" s="319"/>
      <c r="S317" s="324">
        <v>50000</v>
      </c>
      <c r="T317" s="324">
        <v>0</v>
      </c>
      <c r="U317" s="324">
        <v>0</v>
      </c>
      <c r="V317" s="324"/>
      <c r="W317" s="324">
        <v>0</v>
      </c>
      <c r="X317" s="324">
        <v>0</v>
      </c>
      <c r="Y317" s="312">
        <v>50000</v>
      </c>
      <c r="Z317" s="325">
        <v>50000</v>
      </c>
      <c r="AA317" s="325">
        <v>0</v>
      </c>
      <c r="AB317" s="326"/>
      <c r="AC317" s="324">
        <v>50000</v>
      </c>
      <c r="AD317" s="324">
        <v>0</v>
      </c>
      <c r="AE317" s="324">
        <v>0</v>
      </c>
      <c r="AF317" s="324">
        <v>0</v>
      </c>
      <c r="AG317" s="324">
        <v>0</v>
      </c>
      <c r="AH317" s="324"/>
      <c r="AI317" s="312">
        <v>50000</v>
      </c>
      <c r="AJ317" s="327">
        <v>50000</v>
      </c>
      <c r="AK317" s="327">
        <v>0</v>
      </c>
      <c r="AL317" s="328"/>
      <c r="AM317" s="279">
        <v>50000</v>
      </c>
      <c r="AN317" s="279">
        <v>0</v>
      </c>
      <c r="AO317" s="279">
        <v>0</v>
      </c>
      <c r="AP317" s="279"/>
      <c r="AQ317" s="279">
        <v>0</v>
      </c>
      <c r="AR317" s="279">
        <v>0</v>
      </c>
      <c r="AS317" s="293">
        <v>50000</v>
      </c>
      <c r="AT317" s="327">
        <v>50000</v>
      </c>
      <c r="AU317" s="327">
        <v>0</v>
      </c>
      <c r="AV317" s="328"/>
      <c r="AW317" s="279"/>
      <c r="AX317" s="279"/>
      <c r="AY317" s="279"/>
      <c r="AZ317" s="279"/>
      <c r="BA317" s="279"/>
      <c r="BB317" s="279"/>
      <c r="BC317" s="293"/>
      <c r="BD317" s="319"/>
      <c r="BE317" s="293"/>
      <c r="BF317" s="319"/>
      <c r="BG317" s="293"/>
      <c r="BH317" s="293"/>
      <c r="BI317" s="337">
        <v>150000</v>
      </c>
      <c r="BJ317" s="338">
        <v>0</v>
      </c>
      <c r="BK317" s="126"/>
    </row>
    <row r="318" spans="1:63" ht="15.75">
      <c r="A318" s="314">
        <v>501345</v>
      </c>
      <c r="B318" s="125" t="s">
        <v>1313</v>
      </c>
      <c r="C318" s="124" t="s">
        <v>84</v>
      </c>
      <c r="D318" s="126">
        <v>211963</v>
      </c>
      <c r="E318" s="124" t="s">
        <v>1314</v>
      </c>
      <c r="F318" s="124" t="s">
        <v>1315</v>
      </c>
      <c r="G318" s="127" t="s">
        <v>46</v>
      </c>
      <c r="H318" s="126" t="s">
        <v>628</v>
      </c>
      <c r="I318" s="126" t="s">
        <v>598</v>
      </c>
      <c r="J318" s="126" t="s">
        <v>696</v>
      </c>
      <c r="K318" s="128" t="s">
        <v>697</v>
      </c>
      <c r="L318" s="121" t="s">
        <v>515</v>
      </c>
      <c r="M318" s="123" t="s">
        <v>714</v>
      </c>
      <c r="N318" s="129">
        <v>42614</v>
      </c>
      <c r="O318" s="129">
        <v>43890</v>
      </c>
      <c r="P318" s="129">
        <v>44145</v>
      </c>
      <c r="Q318" s="323">
        <v>70000</v>
      </c>
      <c r="R318" s="319"/>
      <c r="S318" s="324">
        <v>0</v>
      </c>
      <c r="T318" s="324">
        <v>0</v>
      </c>
      <c r="U318" s="324">
        <v>0</v>
      </c>
      <c r="V318" s="324"/>
      <c r="W318" s="324">
        <v>0</v>
      </c>
      <c r="X318" s="324">
        <v>0</v>
      </c>
      <c r="Y318" s="312">
        <v>0</v>
      </c>
      <c r="Z318" s="325">
        <v>0</v>
      </c>
      <c r="AA318" s="325">
        <v>0</v>
      </c>
      <c r="AB318" s="326"/>
      <c r="AC318" s="324">
        <v>35000</v>
      </c>
      <c r="AD318" s="324">
        <v>0</v>
      </c>
      <c r="AE318" s="324">
        <v>0</v>
      </c>
      <c r="AF318" s="324">
        <v>0</v>
      </c>
      <c r="AG318" s="324">
        <v>0</v>
      </c>
      <c r="AH318" s="324"/>
      <c r="AI318" s="312">
        <v>35000</v>
      </c>
      <c r="AJ318" s="327">
        <v>35000</v>
      </c>
      <c r="AK318" s="327">
        <v>0</v>
      </c>
      <c r="AL318" s="328"/>
      <c r="AM318" s="279">
        <v>35000</v>
      </c>
      <c r="AN318" s="279">
        <v>0</v>
      </c>
      <c r="AO318" s="279">
        <v>0</v>
      </c>
      <c r="AP318" s="279"/>
      <c r="AQ318" s="279">
        <v>0</v>
      </c>
      <c r="AR318" s="279">
        <v>0</v>
      </c>
      <c r="AS318" s="293">
        <v>35000</v>
      </c>
      <c r="AT318" s="327">
        <v>35000</v>
      </c>
      <c r="AU318" s="327">
        <v>0</v>
      </c>
      <c r="AV318" s="328"/>
      <c r="AW318" s="279"/>
      <c r="AX318" s="279"/>
      <c r="AY318" s="279"/>
      <c r="AZ318" s="279"/>
      <c r="BA318" s="279"/>
      <c r="BB318" s="279"/>
      <c r="BC318" s="293"/>
      <c r="BD318" s="319"/>
      <c r="BE318" s="293"/>
      <c r="BF318" s="319"/>
      <c r="BG318" s="293"/>
      <c r="BH318" s="293"/>
      <c r="BI318" s="337">
        <v>70000</v>
      </c>
      <c r="BJ318" s="338">
        <v>0</v>
      </c>
      <c r="BK318" s="126" t="s">
        <v>1144</v>
      </c>
    </row>
    <row r="319" spans="1:63" ht="15.75">
      <c r="A319" s="314">
        <v>507638</v>
      </c>
      <c r="B319" s="125" t="s">
        <v>1313</v>
      </c>
      <c r="C319" s="124" t="s">
        <v>84</v>
      </c>
      <c r="D319" s="126">
        <v>211963</v>
      </c>
      <c r="E319" s="124" t="s">
        <v>1314</v>
      </c>
      <c r="F319" s="124" t="s">
        <v>1315</v>
      </c>
      <c r="G319" s="127" t="s">
        <v>46</v>
      </c>
      <c r="H319" s="126" t="s">
        <v>628</v>
      </c>
      <c r="I319" s="126" t="s">
        <v>598</v>
      </c>
      <c r="J319" s="126" t="s">
        <v>696</v>
      </c>
      <c r="K319" s="128" t="s">
        <v>697</v>
      </c>
      <c r="L319" s="121" t="s">
        <v>519</v>
      </c>
      <c r="M319" s="123" t="s">
        <v>791</v>
      </c>
      <c r="N319" s="129">
        <v>43709</v>
      </c>
      <c r="O319" s="129">
        <v>44895</v>
      </c>
      <c r="P319" s="129">
        <v>44895</v>
      </c>
      <c r="Q319" s="323">
        <v>400000</v>
      </c>
      <c r="R319" s="319"/>
      <c r="S319" s="324">
        <v>133500</v>
      </c>
      <c r="T319" s="324"/>
      <c r="U319" s="324"/>
      <c r="V319" s="324"/>
      <c r="W319" s="324"/>
      <c r="X319" s="324"/>
      <c r="Y319" s="312">
        <v>133500</v>
      </c>
      <c r="Z319" s="325">
        <v>133500</v>
      </c>
      <c r="AA319" s="325">
        <v>0</v>
      </c>
      <c r="AB319" s="326"/>
      <c r="AC319" s="324">
        <v>133500</v>
      </c>
      <c r="AD319" s="324">
        <v>0</v>
      </c>
      <c r="AE319" s="324">
        <v>0</v>
      </c>
      <c r="AF319" s="324">
        <v>0</v>
      </c>
      <c r="AG319" s="324">
        <v>0</v>
      </c>
      <c r="AH319" s="324">
        <v>0</v>
      </c>
      <c r="AI319" s="312">
        <v>133500</v>
      </c>
      <c r="AJ319" s="327">
        <v>133500</v>
      </c>
      <c r="AK319" s="327">
        <v>0</v>
      </c>
      <c r="AL319" s="328"/>
      <c r="AM319" s="324">
        <v>133000</v>
      </c>
      <c r="AN319" s="281">
        <v>0</v>
      </c>
      <c r="AO319" s="281">
        <v>0</v>
      </c>
      <c r="AP319" s="281">
        <v>0</v>
      </c>
      <c r="AQ319" s="281">
        <v>0</v>
      </c>
      <c r="AR319" s="281"/>
      <c r="AS319" s="293">
        <v>133000</v>
      </c>
      <c r="AT319" s="327">
        <v>133000</v>
      </c>
      <c r="AU319" s="327">
        <v>0</v>
      </c>
      <c r="AV319" s="328"/>
      <c r="AW319" s="279">
        <v>0</v>
      </c>
      <c r="AX319" s="279">
        <v>0</v>
      </c>
      <c r="AY319" s="279">
        <v>0</v>
      </c>
      <c r="AZ319" s="279">
        <v>0</v>
      </c>
      <c r="BA319" s="279"/>
      <c r="BB319" s="279">
        <v>0</v>
      </c>
      <c r="BC319" s="293">
        <v>0</v>
      </c>
      <c r="BD319" s="319"/>
      <c r="BE319" s="293"/>
      <c r="BF319" s="319"/>
      <c r="BG319" s="293"/>
      <c r="BH319" s="293"/>
      <c r="BI319" s="337">
        <v>400000</v>
      </c>
      <c r="BJ319" s="338">
        <v>0</v>
      </c>
      <c r="BK319" s="126"/>
    </row>
    <row r="320" spans="1:63" ht="15.75">
      <c r="A320" s="314">
        <v>507693</v>
      </c>
      <c r="B320" s="125" t="s">
        <v>1313</v>
      </c>
      <c r="C320" s="124" t="s">
        <v>84</v>
      </c>
      <c r="D320" s="126">
        <v>211963</v>
      </c>
      <c r="E320" s="124" t="s">
        <v>1314</v>
      </c>
      <c r="F320" s="124" t="s">
        <v>1315</v>
      </c>
      <c r="G320" s="127" t="s">
        <v>46</v>
      </c>
      <c r="H320" s="126" t="s">
        <v>628</v>
      </c>
      <c r="I320" s="126" t="s">
        <v>598</v>
      </c>
      <c r="J320" s="126" t="s">
        <v>696</v>
      </c>
      <c r="K320" s="128" t="s">
        <v>697</v>
      </c>
      <c r="L320" s="121" t="s">
        <v>519</v>
      </c>
      <c r="M320" s="123" t="s">
        <v>717</v>
      </c>
      <c r="N320" s="129">
        <v>43709</v>
      </c>
      <c r="O320" s="129">
        <v>44895</v>
      </c>
      <c r="P320" s="129">
        <v>44895</v>
      </c>
      <c r="Q320" s="323">
        <v>100350</v>
      </c>
      <c r="R320" s="319"/>
      <c r="S320" s="324">
        <v>33450</v>
      </c>
      <c r="T320" s="324"/>
      <c r="U320" s="324"/>
      <c r="V320" s="324"/>
      <c r="W320" s="324"/>
      <c r="X320" s="324"/>
      <c r="Y320" s="312">
        <v>33450</v>
      </c>
      <c r="Z320" s="325">
        <v>33450</v>
      </c>
      <c r="AA320" s="325">
        <v>0</v>
      </c>
      <c r="AB320" s="326"/>
      <c r="AC320" s="324">
        <v>33450</v>
      </c>
      <c r="AD320" s="324"/>
      <c r="AE320" s="324"/>
      <c r="AF320" s="324"/>
      <c r="AG320" s="324"/>
      <c r="AH320" s="324"/>
      <c r="AI320" s="312">
        <v>33450</v>
      </c>
      <c r="AJ320" s="327">
        <v>33450</v>
      </c>
      <c r="AK320" s="327">
        <v>0</v>
      </c>
      <c r="AL320" s="328"/>
      <c r="AM320" s="324">
        <v>33450</v>
      </c>
      <c r="AN320" s="324"/>
      <c r="AO320" s="324"/>
      <c r="AP320" s="279"/>
      <c r="AQ320" s="279"/>
      <c r="AR320" s="279"/>
      <c r="AS320" s="293">
        <v>33450</v>
      </c>
      <c r="AT320" s="327">
        <v>33450</v>
      </c>
      <c r="AU320" s="327">
        <v>0</v>
      </c>
      <c r="AV320" s="328"/>
      <c r="AW320" s="279"/>
      <c r="AX320" s="279"/>
      <c r="AY320" s="279"/>
      <c r="AZ320" s="279"/>
      <c r="BA320" s="279"/>
      <c r="BB320" s="279"/>
      <c r="BC320" s="293"/>
      <c r="BD320" s="319"/>
      <c r="BE320" s="293"/>
      <c r="BF320" s="319"/>
      <c r="BG320" s="293"/>
      <c r="BH320" s="293"/>
      <c r="BI320" s="337">
        <v>100350</v>
      </c>
      <c r="BJ320" s="338">
        <v>0</v>
      </c>
      <c r="BK320" s="126"/>
    </row>
    <row r="321" spans="1:63" ht="15.75">
      <c r="A321" s="314">
        <v>507776</v>
      </c>
      <c r="B321" s="332" t="s">
        <v>1313</v>
      </c>
      <c r="C321" s="124" t="s">
        <v>84</v>
      </c>
      <c r="D321" s="126">
        <v>211963</v>
      </c>
      <c r="E321" s="124" t="s">
        <v>1314</v>
      </c>
      <c r="F321" s="124" t="s">
        <v>1315</v>
      </c>
      <c r="G321" s="127" t="s">
        <v>46</v>
      </c>
      <c r="H321" s="126" t="s">
        <v>628</v>
      </c>
      <c r="I321" s="126" t="s">
        <v>598</v>
      </c>
      <c r="J321" s="126" t="s">
        <v>696</v>
      </c>
      <c r="K321" s="128" t="s">
        <v>697</v>
      </c>
      <c r="L321" s="121" t="s">
        <v>519</v>
      </c>
      <c r="M321" s="123" t="s">
        <v>1080</v>
      </c>
      <c r="N321" s="129">
        <v>43709</v>
      </c>
      <c r="O321" s="129">
        <v>44895</v>
      </c>
      <c r="P321" s="129">
        <v>44895</v>
      </c>
      <c r="Q321" s="323">
        <v>150000</v>
      </c>
      <c r="R321" s="342"/>
      <c r="S321" s="343">
        <v>50000</v>
      </c>
      <c r="T321" s="344"/>
      <c r="U321" s="324"/>
      <c r="V321" s="324"/>
      <c r="W321" s="324"/>
      <c r="X321" s="324"/>
      <c r="Y321" s="312">
        <v>50000</v>
      </c>
      <c r="Z321" s="325">
        <v>50000</v>
      </c>
      <c r="AA321" s="325">
        <v>0</v>
      </c>
      <c r="AB321" s="326"/>
      <c r="AC321" s="324">
        <v>50000</v>
      </c>
      <c r="AD321" s="324"/>
      <c r="AE321" s="324"/>
      <c r="AF321" s="324"/>
      <c r="AG321" s="324"/>
      <c r="AH321" s="324"/>
      <c r="AI321" s="312">
        <v>50000</v>
      </c>
      <c r="AJ321" s="327">
        <v>50000</v>
      </c>
      <c r="AK321" s="327">
        <v>0</v>
      </c>
      <c r="AL321" s="328"/>
      <c r="AM321" s="279">
        <v>50000</v>
      </c>
      <c r="AN321" s="279"/>
      <c r="AO321" s="279"/>
      <c r="AP321" s="279"/>
      <c r="AQ321" s="279"/>
      <c r="AR321" s="279"/>
      <c r="AS321" s="293">
        <v>50000</v>
      </c>
      <c r="AT321" s="327">
        <v>50000</v>
      </c>
      <c r="AU321" s="327">
        <v>0</v>
      </c>
      <c r="AV321" s="328"/>
      <c r="AW321" s="279"/>
      <c r="AX321" s="279"/>
      <c r="AY321" s="279"/>
      <c r="AZ321" s="279"/>
      <c r="BA321" s="279"/>
      <c r="BB321" s="279"/>
      <c r="BC321" s="293"/>
      <c r="BD321" s="319"/>
      <c r="BE321" s="293"/>
      <c r="BF321" s="319"/>
      <c r="BG321" s="293"/>
      <c r="BH321" s="293"/>
      <c r="BI321" s="337">
        <v>150000</v>
      </c>
      <c r="BJ321" s="338">
        <v>0</v>
      </c>
      <c r="BK321" s="126"/>
    </row>
    <row r="322" spans="1:63" ht="15.75">
      <c r="A322" s="314">
        <v>512329</v>
      </c>
      <c r="B322" s="332" t="s">
        <v>1313</v>
      </c>
      <c r="C322" s="124" t="s">
        <v>84</v>
      </c>
      <c r="D322" s="126">
        <v>211963</v>
      </c>
      <c r="E322" s="124" t="s">
        <v>1314</v>
      </c>
      <c r="F322" s="124" t="s">
        <v>1315</v>
      </c>
      <c r="G322" s="127" t="s">
        <v>46</v>
      </c>
      <c r="H322" s="126" t="s">
        <v>628</v>
      </c>
      <c r="I322" s="126" t="s">
        <v>598</v>
      </c>
      <c r="J322" s="126" t="s">
        <v>696</v>
      </c>
      <c r="K322" s="128" t="s">
        <v>697</v>
      </c>
      <c r="L322" s="121" t="s">
        <v>5</v>
      </c>
      <c r="M322" s="123" t="s">
        <v>706</v>
      </c>
      <c r="N322" s="129">
        <v>44287</v>
      </c>
      <c r="O322" s="129">
        <v>44651</v>
      </c>
      <c r="P322" s="129">
        <v>44651</v>
      </c>
      <c r="Q322" s="323">
        <v>0</v>
      </c>
      <c r="R322" s="342"/>
      <c r="S322" s="324">
        <v>0</v>
      </c>
      <c r="T322" s="324">
        <v>0</v>
      </c>
      <c r="U322" s="324">
        <v>0</v>
      </c>
      <c r="V322" s="324">
        <v>0</v>
      </c>
      <c r="W322" s="324">
        <v>0</v>
      </c>
      <c r="X322" s="324">
        <v>0</v>
      </c>
      <c r="Y322" s="312">
        <v>0</v>
      </c>
      <c r="Z322" s="325">
        <v>0</v>
      </c>
      <c r="AA322" s="325">
        <v>0</v>
      </c>
      <c r="AB322" s="326"/>
      <c r="AC322" s="324">
        <v>20000</v>
      </c>
      <c r="AD322" s="324">
        <v>0</v>
      </c>
      <c r="AE322" s="324">
        <v>0</v>
      </c>
      <c r="AF322" s="324">
        <v>0</v>
      </c>
      <c r="AG322" s="324">
        <v>0</v>
      </c>
      <c r="AH322" s="324">
        <v>0</v>
      </c>
      <c r="AI322" s="312">
        <v>20000</v>
      </c>
      <c r="AJ322" s="327">
        <v>20000</v>
      </c>
      <c r="AK322" s="327">
        <v>0</v>
      </c>
      <c r="AL322" s="328"/>
      <c r="AM322" s="324"/>
      <c r="AN322" s="324"/>
      <c r="AO322" s="324"/>
      <c r="AP322" s="324"/>
      <c r="AQ322" s="324"/>
      <c r="AR322" s="324"/>
      <c r="AS322" s="293"/>
      <c r="AT322" s="327"/>
      <c r="AU322" s="327"/>
      <c r="AV322" s="328"/>
      <c r="AW322" s="279"/>
      <c r="AX322" s="279"/>
      <c r="AY322" s="279"/>
      <c r="AZ322" s="279"/>
      <c r="BA322" s="279"/>
      <c r="BB322" s="279"/>
      <c r="BC322" s="293"/>
      <c r="BD322" s="319"/>
      <c r="BE322" s="293"/>
      <c r="BF322" s="319"/>
      <c r="BG322" s="293"/>
      <c r="BH322" s="293"/>
      <c r="BI322" s="337">
        <v>20000</v>
      </c>
      <c r="BJ322" s="338">
        <v>20000</v>
      </c>
      <c r="BK322" s="126"/>
    </row>
    <row r="323" spans="1:63" ht="15.75">
      <c r="A323" s="314">
        <v>502801</v>
      </c>
      <c r="B323" s="125" t="s">
        <v>1317</v>
      </c>
      <c r="C323" s="124" t="s">
        <v>1318</v>
      </c>
      <c r="D323" s="126">
        <v>211974</v>
      </c>
      <c r="E323" s="124" t="s">
        <v>1319</v>
      </c>
      <c r="F323" s="124" t="s">
        <v>1320</v>
      </c>
      <c r="G323" s="127" t="s">
        <v>75</v>
      </c>
      <c r="H323" s="126" t="s">
        <v>628</v>
      </c>
      <c r="I323" s="126" t="s">
        <v>598</v>
      </c>
      <c r="J323" s="126" t="s">
        <v>730</v>
      </c>
      <c r="K323" s="128" t="s">
        <v>735</v>
      </c>
      <c r="L323" s="121" t="s">
        <v>19</v>
      </c>
      <c r="M323" s="123" t="s">
        <v>753</v>
      </c>
      <c r="N323" s="129">
        <v>42826</v>
      </c>
      <c r="O323" s="129">
        <v>43555</v>
      </c>
      <c r="P323" s="129">
        <v>43190</v>
      </c>
      <c r="Q323" s="330">
        <v>63280</v>
      </c>
      <c r="R323" s="331"/>
      <c r="S323" s="324">
        <v>20090</v>
      </c>
      <c r="T323" s="324">
        <v>0</v>
      </c>
      <c r="U323" s="324">
        <v>3270</v>
      </c>
      <c r="V323" s="324">
        <v>0</v>
      </c>
      <c r="W323" s="324">
        <v>8280</v>
      </c>
      <c r="X323" s="324">
        <v>0</v>
      </c>
      <c r="Y323" s="312">
        <v>31640</v>
      </c>
      <c r="Z323" s="325">
        <v>31640</v>
      </c>
      <c r="AA323" s="325">
        <v>0</v>
      </c>
      <c r="AB323" s="326"/>
      <c r="AC323" s="324">
        <v>20090</v>
      </c>
      <c r="AD323" s="324">
        <v>0</v>
      </c>
      <c r="AE323" s="324">
        <v>3270</v>
      </c>
      <c r="AF323" s="324"/>
      <c r="AG323" s="324">
        <v>8280</v>
      </c>
      <c r="AH323" s="324"/>
      <c r="AI323" s="312">
        <v>31640</v>
      </c>
      <c r="AJ323" s="327">
        <v>31640</v>
      </c>
      <c r="AK323" s="327">
        <v>0</v>
      </c>
      <c r="AL323" s="339"/>
      <c r="AM323" s="324">
        <v>0</v>
      </c>
      <c r="AN323" s="324">
        <v>0</v>
      </c>
      <c r="AO323" s="324">
        <v>0</v>
      </c>
      <c r="AP323" s="324">
        <v>0</v>
      </c>
      <c r="AQ323" s="324">
        <v>0</v>
      </c>
      <c r="AR323" s="324">
        <v>0</v>
      </c>
      <c r="AS323" s="293">
        <v>0</v>
      </c>
      <c r="AT323" s="327">
        <v>0</v>
      </c>
      <c r="AU323" s="327">
        <v>0</v>
      </c>
      <c r="AV323" s="328"/>
      <c r="AW323" s="279"/>
      <c r="AX323" s="279"/>
      <c r="AY323" s="279"/>
      <c r="AZ323" s="279"/>
      <c r="BA323" s="279"/>
      <c r="BB323" s="279"/>
      <c r="BC323" s="293"/>
      <c r="BD323" s="319"/>
      <c r="BE323" s="293"/>
      <c r="BF323" s="319"/>
      <c r="BG323" s="293"/>
      <c r="BH323" s="293"/>
      <c r="BI323" s="337">
        <v>63280</v>
      </c>
      <c r="BJ323" s="338">
        <v>0</v>
      </c>
      <c r="BK323" s="126"/>
    </row>
    <row r="324" spans="1:63" ht="15.75">
      <c r="A324" s="314">
        <v>500322</v>
      </c>
      <c r="B324" s="125" t="s">
        <v>1321</v>
      </c>
      <c r="C324" s="124" t="s">
        <v>1322</v>
      </c>
      <c r="D324" s="126">
        <v>212041</v>
      </c>
      <c r="E324" s="124" t="s">
        <v>1323</v>
      </c>
      <c r="F324" s="124" t="s">
        <v>1324</v>
      </c>
      <c r="G324" s="127" t="s">
        <v>82</v>
      </c>
      <c r="H324" s="126" t="s">
        <v>597</v>
      </c>
      <c r="I324" s="126" t="s">
        <v>598</v>
      </c>
      <c r="J324" s="126" t="s">
        <v>888</v>
      </c>
      <c r="K324" s="128" t="s">
        <v>731</v>
      </c>
      <c r="L324" s="121" t="s">
        <v>637</v>
      </c>
      <c r="M324" s="123" t="s">
        <v>638</v>
      </c>
      <c r="N324" s="129">
        <v>42248</v>
      </c>
      <c r="O324" s="129">
        <v>42643</v>
      </c>
      <c r="P324" s="129">
        <v>42643</v>
      </c>
      <c r="Q324" s="323">
        <v>16700</v>
      </c>
      <c r="R324" s="324">
        <v>16700</v>
      </c>
      <c r="S324" s="324"/>
      <c r="T324" s="324">
        <v>0</v>
      </c>
      <c r="U324" s="324">
        <v>0</v>
      </c>
      <c r="V324" s="324"/>
      <c r="W324" s="324">
        <v>0</v>
      </c>
      <c r="X324" s="324">
        <v>0</v>
      </c>
      <c r="Y324" s="312">
        <v>16700</v>
      </c>
      <c r="Z324" s="325">
        <v>16700</v>
      </c>
      <c r="AA324" s="325">
        <v>0</v>
      </c>
      <c r="AB324" s="326"/>
      <c r="AC324" s="324" t="s">
        <v>602</v>
      </c>
      <c r="AD324" s="324" t="s">
        <v>602</v>
      </c>
      <c r="AE324" s="324" t="s">
        <v>602</v>
      </c>
      <c r="AF324" s="324" t="s">
        <v>602</v>
      </c>
      <c r="AG324" s="324" t="s">
        <v>602</v>
      </c>
      <c r="AH324" s="324"/>
      <c r="AI324" s="312">
        <v>0</v>
      </c>
      <c r="AJ324" s="327">
        <v>0</v>
      </c>
      <c r="AK324" s="327">
        <v>0</v>
      </c>
      <c r="AL324" s="328"/>
      <c r="AM324" s="324">
        <v>0</v>
      </c>
      <c r="AN324" s="324">
        <v>0</v>
      </c>
      <c r="AO324" s="324">
        <v>0</v>
      </c>
      <c r="AP324" s="324">
        <v>0</v>
      </c>
      <c r="AQ324" s="324">
        <v>0</v>
      </c>
      <c r="AR324" s="324">
        <v>0</v>
      </c>
      <c r="AS324" s="293">
        <v>0</v>
      </c>
      <c r="AT324" s="327">
        <v>0</v>
      </c>
      <c r="AU324" s="327">
        <v>0</v>
      </c>
      <c r="AV324" s="328"/>
      <c r="AW324" s="324" t="s">
        <v>602</v>
      </c>
      <c r="AX324" s="324" t="s">
        <v>602</v>
      </c>
      <c r="AY324" s="324" t="s">
        <v>602</v>
      </c>
      <c r="AZ324" s="324" t="s">
        <v>602</v>
      </c>
      <c r="BA324" s="324"/>
      <c r="BB324" s="324" t="s">
        <v>602</v>
      </c>
      <c r="BC324" s="293"/>
      <c r="BD324" s="319"/>
      <c r="BE324" s="293"/>
      <c r="BF324" s="319"/>
      <c r="BG324" s="293"/>
      <c r="BH324" s="293"/>
      <c r="BI324" s="337">
        <v>16700</v>
      </c>
      <c r="BJ324" s="338">
        <v>0</v>
      </c>
      <c r="BK324" s="126"/>
    </row>
    <row r="325" spans="1:63" ht="15.75">
      <c r="A325" s="314">
        <v>501346</v>
      </c>
      <c r="B325" s="125" t="s">
        <v>1321</v>
      </c>
      <c r="C325" s="124" t="s">
        <v>1322</v>
      </c>
      <c r="D325" s="126">
        <v>212041</v>
      </c>
      <c r="E325" s="124" t="s">
        <v>1323</v>
      </c>
      <c r="F325" s="124" t="s">
        <v>1324</v>
      </c>
      <c r="G325" s="127" t="s">
        <v>82</v>
      </c>
      <c r="H325" s="126" t="s">
        <v>628</v>
      </c>
      <c r="I325" s="126" t="s">
        <v>598</v>
      </c>
      <c r="J325" s="126" t="s">
        <v>888</v>
      </c>
      <c r="K325" s="128" t="s">
        <v>731</v>
      </c>
      <c r="L325" s="121" t="s">
        <v>515</v>
      </c>
      <c r="M325" s="123" t="s">
        <v>744</v>
      </c>
      <c r="N325" s="129">
        <v>42614</v>
      </c>
      <c r="O325" s="129">
        <v>43830</v>
      </c>
      <c r="P325" s="129">
        <v>43830</v>
      </c>
      <c r="Q325" s="323">
        <v>210000</v>
      </c>
      <c r="R325" s="319"/>
      <c r="S325" s="324">
        <v>45000</v>
      </c>
      <c r="T325" s="324">
        <v>0</v>
      </c>
      <c r="U325" s="324">
        <v>15000</v>
      </c>
      <c r="V325" s="324"/>
      <c r="W325" s="324">
        <v>10000</v>
      </c>
      <c r="X325" s="324">
        <v>0</v>
      </c>
      <c r="Y325" s="312">
        <v>70000</v>
      </c>
      <c r="Z325" s="325">
        <v>70000</v>
      </c>
      <c r="AA325" s="325">
        <v>0</v>
      </c>
      <c r="AB325" s="326"/>
      <c r="AC325" s="324">
        <v>45000</v>
      </c>
      <c r="AD325" s="324">
        <v>0</v>
      </c>
      <c r="AE325" s="324">
        <v>15000</v>
      </c>
      <c r="AF325" s="324">
        <v>0</v>
      </c>
      <c r="AG325" s="324">
        <v>10000</v>
      </c>
      <c r="AH325" s="324"/>
      <c r="AI325" s="312">
        <v>70000</v>
      </c>
      <c r="AJ325" s="327">
        <v>70000</v>
      </c>
      <c r="AK325" s="327">
        <v>0</v>
      </c>
      <c r="AL325" s="328"/>
      <c r="AM325" s="279">
        <v>45000</v>
      </c>
      <c r="AN325" s="279" t="s">
        <v>602</v>
      </c>
      <c r="AO325" s="279">
        <v>15000</v>
      </c>
      <c r="AP325" s="279"/>
      <c r="AQ325" s="279">
        <v>10000</v>
      </c>
      <c r="AR325" s="279" t="s">
        <v>602</v>
      </c>
      <c r="AS325" s="293">
        <v>70000</v>
      </c>
      <c r="AT325" s="327">
        <v>70000</v>
      </c>
      <c r="AU325" s="327">
        <v>0</v>
      </c>
      <c r="AV325" s="328"/>
      <c r="AW325" s="279"/>
      <c r="AX325" s="279"/>
      <c r="AY325" s="279"/>
      <c r="AZ325" s="279"/>
      <c r="BA325" s="279"/>
      <c r="BB325" s="279"/>
      <c r="BC325" s="293"/>
      <c r="BD325" s="319"/>
      <c r="BE325" s="293"/>
      <c r="BF325" s="319"/>
      <c r="BG325" s="293"/>
      <c r="BH325" s="293"/>
      <c r="BI325" s="337">
        <v>210000</v>
      </c>
      <c r="BJ325" s="338">
        <v>0</v>
      </c>
      <c r="BK325" s="126"/>
    </row>
    <row r="326" spans="1:63" ht="15.75">
      <c r="A326" s="314">
        <v>499980</v>
      </c>
      <c r="B326" s="125" t="s">
        <v>1325</v>
      </c>
      <c r="C326" s="124" t="s">
        <v>88</v>
      </c>
      <c r="D326" s="126">
        <v>212065</v>
      </c>
      <c r="E326" s="148" t="s">
        <v>1326</v>
      </c>
      <c r="F326" s="148" t="s">
        <v>1327</v>
      </c>
      <c r="G326" s="127" t="s">
        <v>46</v>
      </c>
      <c r="H326" s="149" t="s">
        <v>597</v>
      </c>
      <c r="I326" s="126" t="s">
        <v>723</v>
      </c>
      <c r="J326" s="126" t="s">
        <v>874</v>
      </c>
      <c r="K326" s="128" t="s">
        <v>875</v>
      </c>
      <c r="L326" s="121" t="s">
        <v>637</v>
      </c>
      <c r="M326" s="123" t="s">
        <v>638</v>
      </c>
      <c r="N326" s="129">
        <v>43115</v>
      </c>
      <c r="O326" s="129">
        <v>42643</v>
      </c>
      <c r="P326" s="129">
        <v>42685</v>
      </c>
      <c r="Q326" s="330">
        <v>182688.47</v>
      </c>
      <c r="R326" s="324">
        <v>145000</v>
      </c>
      <c r="S326" s="324"/>
      <c r="T326" s="324">
        <v>8521.4699999999993</v>
      </c>
      <c r="U326" s="324">
        <v>0</v>
      </c>
      <c r="V326" s="324"/>
      <c r="W326" s="324">
        <v>29167</v>
      </c>
      <c r="X326" s="324">
        <v>0</v>
      </c>
      <c r="Y326" s="312">
        <v>182688.47</v>
      </c>
      <c r="Z326" s="325">
        <v>182688.47</v>
      </c>
      <c r="AA326" s="325">
        <v>0</v>
      </c>
      <c r="AB326" s="326"/>
      <c r="AC326" s="324" t="s">
        <v>602</v>
      </c>
      <c r="AD326" s="324" t="s">
        <v>602</v>
      </c>
      <c r="AE326" s="324" t="s">
        <v>602</v>
      </c>
      <c r="AF326" s="324" t="s">
        <v>602</v>
      </c>
      <c r="AG326" s="324" t="s">
        <v>602</v>
      </c>
      <c r="AH326" s="324"/>
      <c r="AI326" s="312">
        <v>0</v>
      </c>
      <c r="AJ326" s="327">
        <v>0</v>
      </c>
      <c r="AK326" s="327">
        <v>0</v>
      </c>
      <c r="AL326" s="328"/>
      <c r="AM326" s="324">
        <v>0</v>
      </c>
      <c r="AN326" s="324">
        <v>0</v>
      </c>
      <c r="AO326" s="324">
        <v>0</v>
      </c>
      <c r="AP326" s="324">
        <v>0</v>
      </c>
      <c r="AQ326" s="324">
        <v>0</v>
      </c>
      <c r="AR326" s="324">
        <v>0</v>
      </c>
      <c r="AS326" s="293">
        <v>0</v>
      </c>
      <c r="AT326" s="327">
        <v>0</v>
      </c>
      <c r="AU326" s="327">
        <v>0</v>
      </c>
      <c r="AV326" s="328"/>
      <c r="AW326" s="324" t="s">
        <v>602</v>
      </c>
      <c r="AX326" s="324" t="s">
        <v>602</v>
      </c>
      <c r="AY326" s="324" t="s">
        <v>602</v>
      </c>
      <c r="AZ326" s="324" t="s">
        <v>602</v>
      </c>
      <c r="BA326" s="324"/>
      <c r="BB326" s="324" t="s">
        <v>602</v>
      </c>
      <c r="BC326" s="293"/>
      <c r="BD326" s="319"/>
      <c r="BE326" s="293"/>
      <c r="BF326" s="319"/>
      <c r="BG326" s="293"/>
      <c r="BH326" s="293"/>
      <c r="BI326" s="337">
        <v>182688.47</v>
      </c>
      <c r="BJ326" s="338">
        <v>0</v>
      </c>
      <c r="BK326" s="165" t="s">
        <v>1328</v>
      </c>
    </row>
    <row r="327" spans="1:63" ht="15.75">
      <c r="A327" s="314">
        <v>501334</v>
      </c>
      <c r="B327" s="125" t="s">
        <v>1325</v>
      </c>
      <c r="C327" s="124" t="s">
        <v>88</v>
      </c>
      <c r="D327" s="126">
        <v>212065</v>
      </c>
      <c r="E327" s="148" t="s">
        <v>1326</v>
      </c>
      <c r="F327" s="148" t="s">
        <v>1327</v>
      </c>
      <c r="G327" s="127" t="s">
        <v>46</v>
      </c>
      <c r="H327" s="149" t="s">
        <v>628</v>
      </c>
      <c r="I327" s="126" t="s">
        <v>723</v>
      </c>
      <c r="J327" s="126" t="s">
        <v>874</v>
      </c>
      <c r="K327" s="128" t="s">
        <v>875</v>
      </c>
      <c r="L327" s="121" t="s">
        <v>515</v>
      </c>
      <c r="M327" s="143" t="s">
        <v>840</v>
      </c>
      <c r="N327" s="129">
        <v>42614</v>
      </c>
      <c r="O327" s="129">
        <v>43708</v>
      </c>
      <c r="P327" s="129">
        <v>44144</v>
      </c>
      <c r="Q327" s="330">
        <v>90000</v>
      </c>
      <c r="R327" s="331"/>
      <c r="S327" s="324">
        <v>20000</v>
      </c>
      <c r="T327" s="324">
        <v>0</v>
      </c>
      <c r="U327" s="324">
        <v>10000</v>
      </c>
      <c r="V327" s="324"/>
      <c r="W327" s="324">
        <v>0</v>
      </c>
      <c r="X327" s="324">
        <v>0</v>
      </c>
      <c r="Y327" s="312">
        <v>30000</v>
      </c>
      <c r="Z327" s="325">
        <v>30000</v>
      </c>
      <c r="AA327" s="325">
        <v>0</v>
      </c>
      <c r="AB327" s="326"/>
      <c r="AC327" s="324">
        <v>20000</v>
      </c>
      <c r="AD327" s="324">
        <v>0</v>
      </c>
      <c r="AE327" s="324">
        <v>10000</v>
      </c>
      <c r="AF327" s="324">
        <v>0</v>
      </c>
      <c r="AG327" s="324">
        <v>0</v>
      </c>
      <c r="AH327" s="324"/>
      <c r="AI327" s="312">
        <v>30000</v>
      </c>
      <c r="AJ327" s="327">
        <v>30000</v>
      </c>
      <c r="AK327" s="327">
        <v>0</v>
      </c>
      <c r="AL327" s="328"/>
      <c r="AM327" s="279">
        <v>20000</v>
      </c>
      <c r="AN327" s="279">
        <v>0</v>
      </c>
      <c r="AO327" s="279">
        <v>10000</v>
      </c>
      <c r="AP327" s="279"/>
      <c r="AQ327" s="279">
        <v>0</v>
      </c>
      <c r="AR327" s="279">
        <v>0</v>
      </c>
      <c r="AS327" s="293">
        <v>30000</v>
      </c>
      <c r="AT327" s="327">
        <v>30000</v>
      </c>
      <c r="AU327" s="327">
        <v>0</v>
      </c>
      <c r="AV327" s="328"/>
      <c r="AW327" s="279"/>
      <c r="AX327" s="279"/>
      <c r="AY327" s="279"/>
      <c r="AZ327" s="279"/>
      <c r="BA327" s="279"/>
      <c r="BB327" s="279"/>
      <c r="BC327" s="293"/>
      <c r="BD327" s="319"/>
      <c r="BE327" s="293"/>
      <c r="BF327" s="319"/>
      <c r="BG327" s="293"/>
      <c r="BH327" s="293"/>
      <c r="BI327" s="337">
        <v>90000</v>
      </c>
      <c r="BJ327" s="338">
        <v>0</v>
      </c>
      <c r="BK327" s="280"/>
    </row>
    <row r="328" spans="1:63" ht="15.75">
      <c r="A328" s="314">
        <v>501337</v>
      </c>
      <c r="B328" s="125" t="s">
        <v>1325</v>
      </c>
      <c r="C328" s="124" t="s">
        <v>88</v>
      </c>
      <c r="D328" s="126">
        <v>212065</v>
      </c>
      <c r="E328" s="148" t="s">
        <v>1326</v>
      </c>
      <c r="F328" s="148" t="s">
        <v>1327</v>
      </c>
      <c r="G328" s="127" t="s">
        <v>46</v>
      </c>
      <c r="H328" s="149" t="s">
        <v>597</v>
      </c>
      <c r="I328" s="126" t="s">
        <v>723</v>
      </c>
      <c r="J328" s="126" t="s">
        <v>874</v>
      </c>
      <c r="K328" s="128" t="s">
        <v>875</v>
      </c>
      <c r="L328" s="121" t="s">
        <v>515</v>
      </c>
      <c r="M328" s="143" t="s">
        <v>1003</v>
      </c>
      <c r="N328" s="129">
        <v>42614</v>
      </c>
      <c r="O328" s="129">
        <v>43708</v>
      </c>
      <c r="P328" s="129">
        <v>44144</v>
      </c>
      <c r="Q328" s="330">
        <v>206778</v>
      </c>
      <c r="R328" s="331"/>
      <c r="S328" s="324">
        <v>34000</v>
      </c>
      <c r="T328" s="324">
        <v>0</v>
      </c>
      <c r="U328" s="324">
        <v>24750</v>
      </c>
      <c r="V328" s="324"/>
      <c r="W328" s="324">
        <v>10176</v>
      </c>
      <c r="X328" s="324">
        <v>0</v>
      </c>
      <c r="Y328" s="312">
        <v>68926</v>
      </c>
      <c r="Z328" s="325">
        <v>68926</v>
      </c>
      <c r="AA328" s="325">
        <v>0</v>
      </c>
      <c r="AB328" s="326"/>
      <c r="AC328" s="324">
        <v>34000</v>
      </c>
      <c r="AD328" s="324">
        <v>0</v>
      </c>
      <c r="AE328" s="324">
        <v>24750</v>
      </c>
      <c r="AF328" s="324">
        <v>10176</v>
      </c>
      <c r="AG328" s="324">
        <v>0</v>
      </c>
      <c r="AH328" s="324"/>
      <c r="AI328" s="312">
        <v>68926</v>
      </c>
      <c r="AJ328" s="327">
        <v>68926</v>
      </c>
      <c r="AK328" s="327">
        <v>0</v>
      </c>
      <c r="AL328" s="328"/>
      <c r="AM328" s="279">
        <v>34000</v>
      </c>
      <c r="AN328" s="279">
        <v>0</v>
      </c>
      <c r="AO328" s="279">
        <v>24750</v>
      </c>
      <c r="AP328" s="279"/>
      <c r="AQ328" s="279">
        <v>10176</v>
      </c>
      <c r="AR328" s="279">
        <v>0</v>
      </c>
      <c r="AS328" s="293">
        <v>68926</v>
      </c>
      <c r="AT328" s="327">
        <v>68926</v>
      </c>
      <c r="AU328" s="327">
        <v>0</v>
      </c>
      <c r="AV328" s="328"/>
      <c r="AW328" s="279"/>
      <c r="AX328" s="279"/>
      <c r="AY328" s="279"/>
      <c r="AZ328" s="279"/>
      <c r="BA328" s="279"/>
      <c r="BB328" s="279"/>
      <c r="BC328" s="293"/>
      <c r="BD328" s="319"/>
      <c r="BE328" s="293"/>
      <c r="BF328" s="319"/>
      <c r="BG328" s="293"/>
      <c r="BH328" s="293"/>
      <c r="BI328" s="337">
        <v>206778</v>
      </c>
      <c r="BJ328" s="338">
        <v>0</v>
      </c>
      <c r="BK328" s="280"/>
    </row>
    <row r="329" spans="1:63" ht="15.75">
      <c r="A329" s="314">
        <v>501345</v>
      </c>
      <c r="B329" s="125" t="s">
        <v>1325</v>
      </c>
      <c r="C329" s="124" t="s">
        <v>88</v>
      </c>
      <c r="D329" s="126">
        <v>212065</v>
      </c>
      <c r="E329" s="124" t="s">
        <v>1326</v>
      </c>
      <c r="F329" s="124" t="s">
        <v>1327</v>
      </c>
      <c r="G329" s="127" t="s">
        <v>46</v>
      </c>
      <c r="H329" s="126" t="s">
        <v>628</v>
      </c>
      <c r="I329" s="126" t="s">
        <v>723</v>
      </c>
      <c r="J329" s="126" t="s">
        <v>874</v>
      </c>
      <c r="K329" s="128" t="s">
        <v>875</v>
      </c>
      <c r="L329" s="121" t="s">
        <v>515</v>
      </c>
      <c r="M329" s="123" t="s">
        <v>714</v>
      </c>
      <c r="N329" s="129">
        <v>42614</v>
      </c>
      <c r="O329" s="129">
        <v>43890</v>
      </c>
      <c r="P329" s="129">
        <v>44145</v>
      </c>
      <c r="Q329" s="323">
        <v>281916</v>
      </c>
      <c r="R329" s="319"/>
      <c r="S329" s="324">
        <v>45000</v>
      </c>
      <c r="T329" s="324">
        <v>0</v>
      </c>
      <c r="U329" s="324">
        <v>39500</v>
      </c>
      <c r="V329" s="324"/>
      <c r="W329" s="324">
        <v>5472</v>
      </c>
      <c r="X329" s="324">
        <v>0</v>
      </c>
      <c r="Y329" s="312">
        <v>89972</v>
      </c>
      <c r="Z329" s="325">
        <v>89972</v>
      </c>
      <c r="AA329" s="325">
        <v>0</v>
      </c>
      <c r="AB329" s="326"/>
      <c r="AC329" s="324">
        <v>45000</v>
      </c>
      <c r="AD329" s="324">
        <v>0</v>
      </c>
      <c r="AE329" s="324">
        <v>41000</v>
      </c>
      <c r="AF329" s="324">
        <v>5472</v>
      </c>
      <c r="AG329" s="324">
        <v>0</v>
      </c>
      <c r="AH329" s="324"/>
      <c r="AI329" s="312">
        <v>91472</v>
      </c>
      <c r="AJ329" s="327">
        <v>91472</v>
      </c>
      <c r="AK329" s="327">
        <v>0</v>
      </c>
      <c r="AL329" s="328"/>
      <c r="AM329" s="279">
        <v>45000</v>
      </c>
      <c r="AN329" s="279">
        <v>0</v>
      </c>
      <c r="AO329" s="279">
        <v>50000</v>
      </c>
      <c r="AP329" s="279"/>
      <c r="AQ329" s="279">
        <v>5472</v>
      </c>
      <c r="AR329" s="279">
        <v>0</v>
      </c>
      <c r="AS329" s="293">
        <v>100472</v>
      </c>
      <c r="AT329" s="327">
        <v>100472</v>
      </c>
      <c r="AU329" s="327">
        <v>0</v>
      </c>
      <c r="AV329" s="328"/>
      <c r="AW329" s="279"/>
      <c r="AX329" s="279"/>
      <c r="AY329" s="279"/>
      <c r="AZ329" s="279"/>
      <c r="BA329" s="279"/>
      <c r="BB329" s="279"/>
      <c r="BC329" s="293"/>
      <c r="BD329" s="319"/>
      <c r="BE329" s="293"/>
      <c r="BF329" s="319"/>
      <c r="BG329" s="293"/>
      <c r="BH329" s="293"/>
      <c r="BI329" s="337">
        <v>281916</v>
      </c>
      <c r="BJ329" s="338">
        <v>0</v>
      </c>
      <c r="BK329" s="126"/>
    </row>
    <row r="330" spans="1:63" ht="15.75">
      <c r="A330" s="314">
        <v>507639</v>
      </c>
      <c r="B330" s="124" t="s">
        <v>1325</v>
      </c>
      <c r="C330" s="124" t="s">
        <v>88</v>
      </c>
      <c r="D330" s="126">
        <v>212065</v>
      </c>
      <c r="E330" s="124" t="s">
        <v>1326</v>
      </c>
      <c r="F330" s="124" t="s">
        <v>1327</v>
      </c>
      <c r="G330" s="127" t="s">
        <v>46</v>
      </c>
      <c r="H330" s="126" t="s">
        <v>597</v>
      </c>
      <c r="I330" s="126" t="s">
        <v>723</v>
      </c>
      <c r="J330" s="126" t="s">
        <v>874</v>
      </c>
      <c r="K330" s="128" t="s">
        <v>875</v>
      </c>
      <c r="L330" s="121" t="s">
        <v>519</v>
      </c>
      <c r="M330" s="123" t="s">
        <v>847</v>
      </c>
      <c r="N330" s="129">
        <v>43709</v>
      </c>
      <c r="O330" s="129">
        <v>44895</v>
      </c>
      <c r="P330" s="129">
        <v>44895</v>
      </c>
      <c r="Q330" s="323">
        <v>800000</v>
      </c>
      <c r="R330" s="319"/>
      <c r="S330" s="324">
        <v>150900</v>
      </c>
      <c r="T330" s="324"/>
      <c r="U330" s="324">
        <v>88000</v>
      </c>
      <c r="V330" s="324"/>
      <c r="W330" s="324">
        <v>11100</v>
      </c>
      <c r="X330" s="324"/>
      <c r="Y330" s="312">
        <v>250000</v>
      </c>
      <c r="Z330" s="325">
        <v>250000</v>
      </c>
      <c r="AA330" s="325">
        <v>0</v>
      </c>
      <c r="AB330" s="326"/>
      <c r="AC330" s="324">
        <v>120900</v>
      </c>
      <c r="AD330" s="324"/>
      <c r="AE330" s="324">
        <v>103000</v>
      </c>
      <c r="AF330" s="324"/>
      <c r="AG330" s="324">
        <v>26100</v>
      </c>
      <c r="AH330" s="324">
        <v>25000</v>
      </c>
      <c r="AI330" s="312">
        <v>275000</v>
      </c>
      <c r="AJ330" s="327">
        <v>275000</v>
      </c>
      <c r="AK330" s="327">
        <v>0</v>
      </c>
      <c r="AL330" s="328"/>
      <c r="AM330" s="324">
        <v>135900</v>
      </c>
      <c r="AN330" s="324"/>
      <c r="AO330" s="324">
        <v>88000</v>
      </c>
      <c r="AP330" s="324"/>
      <c r="AQ330" s="324">
        <v>26100</v>
      </c>
      <c r="AR330" s="279">
        <v>25000</v>
      </c>
      <c r="AS330" s="293">
        <v>275000</v>
      </c>
      <c r="AT330" s="327">
        <v>275000</v>
      </c>
      <c r="AU330" s="327">
        <v>0</v>
      </c>
      <c r="AV330" s="328"/>
      <c r="AW330" s="279"/>
      <c r="AX330" s="279"/>
      <c r="AY330" s="279"/>
      <c r="AZ330" s="279"/>
      <c r="BA330" s="279"/>
      <c r="BB330" s="279"/>
      <c r="BC330" s="293"/>
      <c r="BD330" s="319"/>
      <c r="BE330" s="293"/>
      <c r="BF330" s="319"/>
      <c r="BG330" s="293"/>
      <c r="BH330" s="293"/>
      <c r="BI330" s="337">
        <v>800000</v>
      </c>
      <c r="BJ330" s="338">
        <v>0</v>
      </c>
      <c r="BK330" s="126"/>
    </row>
    <row r="331" spans="1:63" ht="15.75">
      <c r="A331" s="314">
        <v>512338</v>
      </c>
      <c r="B331" s="125" t="s">
        <v>1325</v>
      </c>
      <c r="C331" s="124" t="s">
        <v>88</v>
      </c>
      <c r="D331" s="126">
        <v>212065</v>
      </c>
      <c r="E331" s="124" t="s">
        <v>1326</v>
      </c>
      <c r="F331" s="124" t="s">
        <v>1327</v>
      </c>
      <c r="G331" s="127" t="s">
        <v>46</v>
      </c>
      <c r="H331" s="126" t="s">
        <v>628</v>
      </c>
      <c r="I331" s="126" t="s">
        <v>723</v>
      </c>
      <c r="J331" s="126" t="s">
        <v>874</v>
      </c>
      <c r="K331" s="128" t="s">
        <v>875</v>
      </c>
      <c r="L331" s="121" t="s">
        <v>5</v>
      </c>
      <c r="M331" s="123" t="s">
        <v>1004</v>
      </c>
      <c r="N331" s="129">
        <v>44287</v>
      </c>
      <c r="O331" s="129">
        <v>44651</v>
      </c>
      <c r="P331" s="129">
        <v>44651</v>
      </c>
      <c r="Q331" s="323">
        <v>103650</v>
      </c>
      <c r="R331" s="319"/>
      <c r="S331" s="324">
        <v>59450</v>
      </c>
      <c r="T331" s="324">
        <v>0</v>
      </c>
      <c r="U331" s="324">
        <v>29200</v>
      </c>
      <c r="V331" s="324">
        <v>0</v>
      </c>
      <c r="W331" s="324">
        <v>15000</v>
      </c>
      <c r="X331" s="324">
        <v>0</v>
      </c>
      <c r="Y331" s="312">
        <v>103650</v>
      </c>
      <c r="Z331" s="325">
        <v>103650</v>
      </c>
      <c r="AA331" s="325">
        <v>0</v>
      </c>
      <c r="AB331" s="326"/>
      <c r="AC331" s="324">
        <v>59450</v>
      </c>
      <c r="AD331" s="324">
        <v>0</v>
      </c>
      <c r="AE331" s="324">
        <v>29200</v>
      </c>
      <c r="AF331" s="324">
        <v>0</v>
      </c>
      <c r="AG331" s="324">
        <v>7700</v>
      </c>
      <c r="AH331" s="324">
        <v>0</v>
      </c>
      <c r="AI331" s="312">
        <v>96350</v>
      </c>
      <c r="AJ331" s="327">
        <v>96350</v>
      </c>
      <c r="AK331" s="327">
        <v>0</v>
      </c>
      <c r="AL331" s="328"/>
      <c r="AM331" s="279"/>
      <c r="AN331" s="279"/>
      <c r="AO331" s="279"/>
      <c r="AP331" s="279"/>
      <c r="AQ331" s="279"/>
      <c r="AR331" s="279"/>
      <c r="AS331" s="293"/>
      <c r="AT331" s="327"/>
      <c r="AU331" s="327"/>
      <c r="AV331" s="328"/>
      <c r="AW331" s="279"/>
      <c r="AX331" s="279"/>
      <c r="AY331" s="279"/>
      <c r="AZ331" s="279"/>
      <c r="BA331" s="279"/>
      <c r="BB331" s="279"/>
      <c r="BC331" s="293"/>
      <c r="BD331" s="319"/>
      <c r="BE331" s="293"/>
      <c r="BF331" s="319"/>
      <c r="BG331" s="293"/>
      <c r="BH331" s="293"/>
      <c r="BI331" s="337">
        <v>200000</v>
      </c>
      <c r="BJ331" s="338">
        <v>96350</v>
      </c>
      <c r="BK331" s="126"/>
    </row>
    <row r="332" spans="1:63" ht="15.75">
      <c r="A332" s="379">
        <v>513374</v>
      </c>
      <c r="B332" s="125" t="s">
        <v>1325</v>
      </c>
      <c r="C332" s="124" t="s">
        <v>88</v>
      </c>
      <c r="D332" s="126">
        <v>212065</v>
      </c>
      <c r="E332" s="148" t="s">
        <v>1326</v>
      </c>
      <c r="F332" s="148" t="s">
        <v>1327</v>
      </c>
      <c r="G332" s="127" t="s">
        <v>46</v>
      </c>
      <c r="H332" s="149" t="s">
        <v>597</v>
      </c>
      <c r="I332" s="126" t="s">
        <v>723</v>
      </c>
      <c r="J332" s="126" t="s">
        <v>874</v>
      </c>
      <c r="K332" s="128" t="s">
        <v>875</v>
      </c>
      <c r="L332" s="121" t="s">
        <v>685</v>
      </c>
      <c r="M332" s="123" t="s">
        <v>878</v>
      </c>
      <c r="N332" s="129">
        <v>44562</v>
      </c>
      <c r="O332" s="129">
        <v>45138</v>
      </c>
      <c r="P332" s="129">
        <v>45138</v>
      </c>
      <c r="Q332" s="323">
        <v>130050</v>
      </c>
      <c r="R332" s="319"/>
      <c r="S332" s="324">
        <v>75050</v>
      </c>
      <c r="T332" s="324"/>
      <c r="U332" s="324">
        <v>45000</v>
      </c>
      <c r="V332" s="324"/>
      <c r="W332" s="324">
        <v>10000</v>
      </c>
      <c r="X332" s="324"/>
      <c r="Y332" s="312">
        <v>130050</v>
      </c>
      <c r="Z332" s="325">
        <v>130050</v>
      </c>
      <c r="AA332" s="325">
        <v>0</v>
      </c>
      <c r="AB332" s="326"/>
      <c r="AC332" s="324">
        <v>27500</v>
      </c>
      <c r="AD332" s="324"/>
      <c r="AE332" s="324">
        <v>17000</v>
      </c>
      <c r="AF332" s="324"/>
      <c r="AG332" s="324"/>
      <c r="AH332" s="324"/>
      <c r="AI332" s="312">
        <v>44500</v>
      </c>
      <c r="AJ332" s="327">
        <v>44500</v>
      </c>
      <c r="AK332" s="327">
        <v>0</v>
      </c>
      <c r="AL332" s="328"/>
      <c r="AM332" s="279"/>
      <c r="AN332" s="279"/>
      <c r="AO332" s="279"/>
      <c r="AP332" s="279"/>
      <c r="AQ332" s="279"/>
      <c r="AR332" s="279"/>
      <c r="AS332" s="293"/>
      <c r="AT332" s="327"/>
      <c r="AU332" s="327"/>
      <c r="AV332" s="328"/>
      <c r="AW332" s="279"/>
      <c r="AX332" s="279"/>
      <c r="AY332" s="279"/>
      <c r="AZ332" s="279"/>
      <c r="BA332" s="279"/>
      <c r="BB332" s="279"/>
      <c r="BC332" s="293"/>
      <c r="BD332" s="319"/>
      <c r="BE332" s="293"/>
      <c r="BF332" s="319"/>
      <c r="BG332" s="293"/>
      <c r="BH332" s="293"/>
      <c r="BI332" s="337">
        <v>174550</v>
      </c>
      <c r="BJ332" s="338">
        <v>44500</v>
      </c>
      <c r="BK332" s="126"/>
    </row>
    <row r="333" spans="1:63" ht="15.75">
      <c r="A333" s="314">
        <v>501348</v>
      </c>
      <c r="B333" s="125" t="s">
        <v>1329</v>
      </c>
      <c r="C333" s="124" t="s">
        <v>94</v>
      </c>
      <c r="D333" s="126">
        <v>212183</v>
      </c>
      <c r="E333" s="121" t="s">
        <v>1330</v>
      </c>
      <c r="F333" s="121" t="s">
        <v>1331</v>
      </c>
      <c r="G333" s="127" t="s">
        <v>68</v>
      </c>
      <c r="H333" s="123" t="s">
        <v>628</v>
      </c>
      <c r="I333" s="126" t="s">
        <v>598</v>
      </c>
      <c r="J333" s="126" t="s">
        <v>683</v>
      </c>
      <c r="K333" s="128" t="s">
        <v>684</v>
      </c>
      <c r="L333" s="121" t="s">
        <v>515</v>
      </c>
      <c r="M333" s="143" t="s">
        <v>934</v>
      </c>
      <c r="N333" s="129">
        <v>42614</v>
      </c>
      <c r="O333" s="129">
        <v>44286</v>
      </c>
      <c r="P333" s="129">
        <v>44334</v>
      </c>
      <c r="Q333" s="330">
        <v>241000</v>
      </c>
      <c r="R333" s="331"/>
      <c r="S333" s="324">
        <v>55000</v>
      </c>
      <c r="T333" s="324">
        <v>0</v>
      </c>
      <c r="U333" s="324">
        <v>17000</v>
      </c>
      <c r="V333" s="324"/>
      <c r="W333" s="324">
        <v>0</v>
      </c>
      <c r="X333" s="324">
        <v>0</v>
      </c>
      <c r="Y333" s="312">
        <v>72000</v>
      </c>
      <c r="Z333" s="325">
        <v>72000</v>
      </c>
      <c r="AA333" s="325">
        <v>0</v>
      </c>
      <c r="AB333" s="326"/>
      <c r="AC333" s="324">
        <v>55000</v>
      </c>
      <c r="AD333" s="324">
        <v>0</v>
      </c>
      <c r="AE333" s="324">
        <v>17000</v>
      </c>
      <c r="AF333" s="324">
        <v>0</v>
      </c>
      <c r="AG333" s="324">
        <v>0</v>
      </c>
      <c r="AH333" s="324"/>
      <c r="AI333" s="312">
        <v>72000</v>
      </c>
      <c r="AJ333" s="327">
        <v>72000</v>
      </c>
      <c r="AK333" s="327">
        <v>0</v>
      </c>
      <c r="AL333" s="328"/>
      <c r="AM333" s="279">
        <v>75000</v>
      </c>
      <c r="AN333" s="279">
        <v>5000</v>
      </c>
      <c r="AO333" s="279">
        <v>17000</v>
      </c>
      <c r="AP333" s="279"/>
      <c r="AQ333" s="279">
        <v>0</v>
      </c>
      <c r="AR333" s="279">
        <v>0</v>
      </c>
      <c r="AS333" s="293">
        <v>97000</v>
      </c>
      <c r="AT333" s="327">
        <v>97000</v>
      </c>
      <c r="AU333" s="327">
        <v>0</v>
      </c>
      <c r="AV333" s="328"/>
      <c r="AW333" s="279"/>
      <c r="AX333" s="279"/>
      <c r="AY333" s="279"/>
      <c r="AZ333" s="279"/>
      <c r="BA333" s="279"/>
      <c r="BB333" s="279"/>
      <c r="BC333" s="293"/>
      <c r="BD333" s="319"/>
      <c r="BE333" s="293"/>
      <c r="BF333" s="319"/>
      <c r="BG333" s="293"/>
      <c r="BH333" s="293"/>
      <c r="BI333" s="337">
        <v>241000</v>
      </c>
      <c r="BJ333" s="338">
        <v>0</v>
      </c>
      <c r="BK333" s="280" t="s">
        <v>1332</v>
      </c>
    </row>
    <row r="334" spans="1:63" ht="15.75">
      <c r="A334" s="314">
        <v>506458</v>
      </c>
      <c r="B334" s="125" t="s">
        <v>1329</v>
      </c>
      <c r="C334" s="124" t="s">
        <v>94</v>
      </c>
      <c r="D334" s="126">
        <v>212183</v>
      </c>
      <c r="E334" s="123" t="s">
        <v>1330</v>
      </c>
      <c r="F334" s="121" t="s">
        <v>1331</v>
      </c>
      <c r="G334" s="127" t="s">
        <v>68</v>
      </c>
      <c r="H334" s="126" t="s">
        <v>597</v>
      </c>
      <c r="I334" s="126" t="s">
        <v>598</v>
      </c>
      <c r="J334" s="126" t="s">
        <v>683</v>
      </c>
      <c r="K334" s="128" t="s">
        <v>684</v>
      </c>
      <c r="L334" s="121" t="s">
        <v>19</v>
      </c>
      <c r="M334" s="126" t="s">
        <v>820</v>
      </c>
      <c r="N334" s="129">
        <v>43556</v>
      </c>
      <c r="O334" s="129">
        <v>44377</v>
      </c>
      <c r="P334" s="129">
        <v>44377</v>
      </c>
      <c r="Q334" s="330">
        <v>142770</v>
      </c>
      <c r="R334" s="331"/>
      <c r="S334" s="324">
        <v>34200</v>
      </c>
      <c r="T334" s="324">
        <v>0</v>
      </c>
      <c r="U334" s="324">
        <v>0</v>
      </c>
      <c r="V334" s="324">
        <v>0</v>
      </c>
      <c r="W334" s="324">
        <v>37185</v>
      </c>
      <c r="X334" s="324">
        <v>0</v>
      </c>
      <c r="Y334" s="312">
        <v>71385</v>
      </c>
      <c r="Z334" s="325">
        <v>71385</v>
      </c>
      <c r="AA334" s="325">
        <v>0</v>
      </c>
      <c r="AB334" s="326"/>
      <c r="AC334" s="324">
        <v>34200</v>
      </c>
      <c r="AD334" s="324">
        <v>0</v>
      </c>
      <c r="AE334" s="324">
        <v>0</v>
      </c>
      <c r="AF334" s="324">
        <v>0</v>
      </c>
      <c r="AG334" s="324">
        <v>37185</v>
      </c>
      <c r="AH334" s="324">
        <v>0</v>
      </c>
      <c r="AI334" s="312">
        <v>71385</v>
      </c>
      <c r="AJ334" s="327">
        <v>71385</v>
      </c>
      <c r="AK334" s="327">
        <v>0</v>
      </c>
      <c r="AL334" s="339"/>
      <c r="AM334" s="324">
        <v>0</v>
      </c>
      <c r="AN334" s="324">
        <v>0</v>
      </c>
      <c r="AO334" s="324">
        <v>0</v>
      </c>
      <c r="AP334" s="324">
        <v>0</v>
      </c>
      <c r="AQ334" s="324">
        <v>0</v>
      </c>
      <c r="AR334" s="324">
        <v>0</v>
      </c>
      <c r="AS334" s="293"/>
      <c r="AT334" s="327">
        <v>0</v>
      </c>
      <c r="AU334" s="327">
        <v>0</v>
      </c>
      <c r="AV334" s="121"/>
      <c r="AW334" s="153"/>
      <c r="AX334" s="153"/>
      <c r="AY334" s="153"/>
      <c r="AZ334" s="153"/>
      <c r="BA334" s="153"/>
      <c r="BB334" s="153"/>
      <c r="BC334" s="154"/>
      <c r="BD334" s="99"/>
      <c r="BE334" s="154"/>
      <c r="BF334" s="99"/>
      <c r="BG334" s="154"/>
      <c r="BH334" s="154"/>
      <c r="BI334" s="337">
        <v>142770</v>
      </c>
      <c r="BJ334" s="338">
        <v>0</v>
      </c>
      <c r="BK334" s="282" t="s">
        <v>821</v>
      </c>
    </row>
    <row r="335" spans="1:63" ht="15.75">
      <c r="A335" s="380">
        <v>509589</v>
      </c>
      <c r="B335" s="125" t="s">
        <v>1329</v>
      </c>
      <c r="C335" s="124" t="s">
        <v>94</v>
      </c>
      <c r="D335" s="126">
        <v>212183</v>
      </c>
      <c r="E335" s="123" t="s">
        <v>1330</v>
      </c>
      <c r="F335" s="121" t="s">
        <v>1331</v>
      </c>
      <c r="G335" s="127" t="s">
        <v>68</v>
      </c>
      <c r="H335" s="126" t="s">
        <v>597</v>
      </c>
      <c r="I335" s="126" t="s">
        <v>598</v>
      </c>
      <c r="J335" s="126" t="s">
        <v>683</v>
      </c>
      <c r="K335" s="128" t="s">
        <v>684</v>
      </c>
      <c r="L335" s="121" t="s">
        <v>517</v>
      </c>
      <c r="M335" s="126" t="s">
        <v>1333</v>
      </c>
      <c r="N335" s="129">
        <v>44075</v>
      </c>
      <c r="O335" s="129">
        <v>44804</v>
      </c>
      <c r="P335" s="129">
        <v>44804</v>
      </c>
      <c r="Q335" s="330">
        <v>150000</v>
      </c>
      <c r="R335" s="331"/>
      <c r="S335" s="324">
        <v>75000</v>
      </c>
      <c r="T335" s="324"/>
      <c r="U335" s="324"/>
      <c r="V335" s="324"/>
      <c r="W335" s="324"/>
      <c r="X335" s="324"/>
      <c r="Y335" s="312">
        <v>75000</v>
      </c>
      <c r="Z335" s="325">
        <v>75000</v>
      </c>
      <c r="AA335" s="325">
        <v>0</v>
      </c>
      <c r="AB335" s="326"/>
      <c r="AC335" s="324">
        <v>75000</v>
      </c>
      <c r="AD335" s="324"/>
      <c r="AE335" s="324"/>
      <c r="AF335" s="324"/>
      <c r="AG335" s="324"/>
      <c r="AH335" s="324"/>
      <c r="AI335" s="312">
        <v>75000</v>
      </c>
      <c r="AJ335" s="327">
        <v>75000</v>
      </c>
      <c r="AK335" s="327">
        <v>0</v>
      </c>
      <c r="AL335" s="339"/>
      <c r="AM335" s="324">
        <v>0</v>
      </c>
      <c r="AN335" s="324">
        <v>0</v>
      </c>
      <c r="AO335" s="324">
        <v>0</v>
      </c>
      <c r="AP335" s="324">
        <v>0</v>
      </c>
      <c r="AQ335" s="324">
        <v>0</v>
      </c>
      <c r="AR335" s="324">
        <v>0</v>
      </c>
      <c r="AS335" s="293"/>
      <c r="AT335" s="327">
        <v>0</v>
      </c>
      <c r="AU335" s="327">
        <v>0</v>
      </c>
      <c r="AV335" s="121"/>
      <c r="AW335" s="153"/>
      <c r="AX335" s="153"/>
      <c r="AY335" s="153"/>
      <c r="AZ335" s="153"/>
      <c r="BA335" s="153"/>
      <c r="BB335" s="153"/>
      <c r="BC335" s="154"/>
      <c r="BD335" s="99"/>
      <c r="BE335" s="154"/>
      <c r="BF335" s="99"/>
      <c r="BG335" s="154"/>
      <c r="BH335" s="154"/>
      <c r="BI335" s="337">
        <v>150000</v>
      </c>
      <c r="BJ335" s="338">
        <v>0</v>
      </c>
      <c r="BK335" s="282"/>
    </row>
    <row r="336" spans="1:63" ht="15.75">
      <c r="A336" s="314">
        <v>512373</v>
      </c>
      <c r="B336" s="125" t="s">
        <v>1329</v>
      </c>
      <c r="C336" s="124" t="s">
        <v>94</v>
      </c>
      <c r="D336" s="126">
        <v>212183</v>
      </c>
      <c r="E336" s="123" t="s">
        <v>1330</v>
      </c>
      <c r="F336" s="121" t="s">
        <v>1331</v>
      </c>
      <c r="G336" s="127" t="s">
        <v>68</v>
      </c>
      <c r="H336" s="126" t="s">
        <v>597</v>
      </c>
      <c r="I336" s="126" t="s">
        <v>598</v>
      </c>
      <c r="J336" s="126" t="s">
        <v>683</v>
      </c>
      <c r="K336" s="128" t="s">
        <v>684</v>
      </c>
      <c r="L336" s="121" t="s">
        <v>5</v>
      </c>
      <c r="M336" s="126" t="s">
        <v>822</v>
      </c>
      <c r="N336" s="129">
        <v>44287</v>
      </c>
      <c r="O336" s="129">
        <v>44651</v>
      </c>
      <c r="P336" s="129">
        <v>44651</v>
      </c>
      <c r="Q336" s="330">
        <v>160000</v>
      </c>
      <c r="R336" s="331"/>
      <c r="S336" s="324">
        <v>32500</v>
      </c>
      <c r="T336" s="324">
        <v>0</v>
      </c>
      <c r="U336" s="324">
        <v>72540</v>
      </c>
      <c r="V336" s="324">
        <v>0</v>
      </c>
      <c r="W336" s="324">
        <v>54960</v>
      </c>
      <c r="X336" s="324"/>
      <c r="Y336" s="312">
        <v>160000</v>
      </c>
      <c r="Z336" s="325">
        <v>160000</v>
      </c>
      <c r="AA336" s="325">
        <v>0</v>
      </c>
      <c r="AB336" s="326"/>
      <c r="AC336" s="324">
        <v>32500</v>
      </c>
      <c r="AD336" s="324">
        <v>0</v>
      </c>
      <c r="AE336" s="324">
        <v>72540</v>
      </c>
      <c r="AF336" s="324">
        <v>0</v>
      </c>
      <c r="AG336" s="324">
        <v>54960</v>
      </c>
      <c r="AH336" s="324">
        <v>0</v>
      </c>
      <c r="AI336" s="312">
        <v>160000</v>
      </c>
      <c r="AJ336" s="327">
        <v>160000</v>
      </c>
      <c r="AK336" s="327">
        <v>0</v>
      </c>
      <c r="AL336" s="339"/>
      <c r="AM336" s="324"/>
      <c r="AN336" s="324"/>
      <c r="AO336" s="324"/>
      <c r="AP336" s="324"/>
      <c r="AQ336" s="324"/>
      <c r="AR336" s="324"/>
      <c r="AS336" s="293"/>
      <c r="AT336" s="327"/>
      <c r="AU336" s="327"/>
      <c r="AV336" s="121"/>
      <c r="AW336" s="153"/>
      <c r="AX336" s="153"/>
      <c r="AY336" s="153"/>
      <c r="AZ336" s="153"/>
      <c r="BA336" s="153"/>
      <c r="BB336" s="153"/>
      <c r="BC336" s="154"/>
      <c r="BD336" s="99"/>
      <c r="BE336" s="154"/>
      <c r="BF336" s="99"/>
      <c r="BG336" s="154"/>
      <c r="BH336" s="154"/>
      <c r="BI336" s="337">
        <v>320000</v>
      </c>
      <c r="BJ336" s="338">
        <v>160000</v>
      </c>
      <c r="BK336" s="282"/>
    </row>
    <row r="337" spans="1:63" ht="15.75">
      <c r="A337" s="314">
        <v>501333</v>
      </c>
      <c r="B337" s="125" t="s">
        <v>1334</v>
      </c>
      <c r="C337" s="124" t="s">
        <v>1335</v>
      </c>
      <c r="D337" s="126">
        <v>212211</v>
      </c>
      <c r="E337" s="124" t="s">
        <v>1336</v>
      </c>
      <c r="F337" s="124" t="s">
        <v>608</v>
      </c>
      <c r="G337" s="127" t="s">
        <v>68</v>
      </c>
      <c r="H337" s="126" t="s">
        <v>628</v>
      </c>
      <c r="I337" s="126" t="s">
        <v>598</v>
      </c>
      <c r="J337" s="126" t="s">
        <v>888</v>
      </c>
      <c r="K337" s="128" t="s">
        <v>731</v>
      </c>
      <c r="L337" s="121" t="s">
        <v>515</v>
      </c>
      <c r="M337" s="123" t="s">
        <v>797</v>
      </c>
      <c r="N337" s="129">
        <v>42614</v>
      </c>
      <c r="O337" s="129">
        <v>43830</v>
      </c>
      <c r="P337" s="129">
        <v>44144</v>
      </c>
      <c r="Q337" s="323">
        <v>120000</v>
      </c>
      <c r="R337" s="319"/>
      <c r="S337" s="324">
        <v>0</v>
      </c>
      <c r="T337" s="324">
        <v>0</v>
      </c>
      <c r="U337" s="324">
        <v>40000</v>
      </c>
      <c r="V337" s="324"/>
      <c r="W337" s="324">
        <v>0</v>
      </c>
      <c r="X337" s="324">
        <v>0</v>
      </c>
      <c r="Y337" s="312">
        <v>40000</v>
      </c>
      <c r="Z337" s="325">
        <v>40000</v>
      </c>
      <c r="AA337" s="325">
        <v>0</v>
      </c>
      <c r="AB337" s="326"/>
      <c r="AC337" s="324">
        <v>27000</v>
      </c>
      <c r="AD337" s="324">
        <v>0</v>
      </c>
      <c r="AE337" s="324">
        <v>13000</v>
      </c>
      <c r="AF337" s="324">
        <v>0</v>
      </c>
      <c r="AG337" s="324">
        <v>0</v>
      </c>
      <c r="AH337" s="324"/>
      <c r="AI337" s="312">
        <v>40000</v>
      </c>
      <c r="AJ337" s="327">
        <v>40000</v>
      </c>
      <c r="AK337" s="327">
        <v>0</v>
      </c>
      <c r="AL337" s="328"/>
      <c r="AM337" s="279">
        <v>27000</v>
      </c>
      <c r="AN337" s="279">
        <v>0</v>
      </c>
      <c r="AO337" s="279">
        <v>13000</v>
      </c>
      <c r="AP337" s="279"/>
      <c r="AQ337" s="279">
        <v>0</v>
      </c>
      <c r="AR337" s="279">
        <v>0</v>
      </c>
      <c r="AS337" s="293">
        <v>40000</v>
      </c>
      <c r="AT337" s="327">
        <v>40000</v>
      </c>
      <c r="AU337" s="327">
        <v>0</v>
      </c>
      <c r="AV337" s="328"/>
      <c r="AW337" s="279"/>
      <c r="AX337" s="279"/>
      <c r="AY337" s="279"/>
      <c r="AZ337" s="279"/>
      <c r="BA337" s="279"/>
      <c r="BB337" s="279"/>
      <c r="BC337" s="293"/>
      <c r="BD337" s="319"/>
      <c r="BE337" s="293"/>
      <c r="BF337" s="319"/>
      <c r="BG337" s="293"/>
      <c r="BH337" s="293"/>
      <c r="BI337" s="337">
        <v>120000</v>
      </c>
      <c r="BJ337" s="338">
        <v>0</v>
      </c>
      <c r="BK337" s="126"/>
    </row>
    <row r="338" spans="1:63" ht="15.75">
      <c r="A338" s="314">
        <v>501335</v>
      </c>
      <c r="B338" s="125" t="s">
        <v>1334</v>
      </c>
      <c r="C338" s="124" t="s">
        <v>1335</v>
      </c>
      <c r="D338" s="126">
        <v>212211</v>
      </c>
      <c r="E338" s="124" t="s">
        <v>1336</v>
      </c>
      <c r="F338" s="124" t="s">
        <v>608</v>
      </c>
      <c r="G338" s="127" t="s">
        <v>68</v>
      </c>
      <c r="H338" s="126" t="s">
        <v>628</v>
      </c>
      <c r="I338" s="126" t="s">
        <v>598</v>
      </c>
      <c r="J338" s="126" t="s">
        <v>888</v>
      </c>
      <c r="K338" s="128" t="s">
        <v>731</v>
      </c>
      <c r="L338" s="121" t="s">
        <v>515</v>
      </c>
      <c r="M338" s="123" t="s">
        <v>994</v>
      </c>
      <c r="N338" s="129">
        <v>42614</v>
      </c>
      <c r="O338" s="129">
        <v>43708</v>
      </c>
      <c r="P338" s="129">
        <v>43798</v>
      </c>
      <c r="Q338" s="323">
        <v>106184</v>
      </c>
      <c r="R338" s="319"/>
      <c r="S338" s="324">
        <v>10000</v>
      </c>
      <c r="T338" s="324">
        <v>0</v>
      </c>
      <c r="U338" s="324">
        <v>13000</v>
      </c>
      <c r="V338" s="324"/>
      <c r="W338" s="324">
        <v>12395</v>
      </c>
      <c r="X338" s="324">
        <v>0</v>
      </c>
      <c r="Y338" s="312">
        <v>35395</v>
      </c>
      <c r="Z338" s="325">
        <v>35395</v>
      </c>
      <c r="AA338" s="325">
        <v>0</v>
      </c>
      <c r="AB338" s="326"/>
      <c r="AC338" s="324">
        <v>10000</v>
      </c>
      <c r="AD338" s="324">
        <v>0</v>
      </c>
      <c r="AE338" s="324">
        <v>13000</v>
      </c>
      <c r="AF338" s="324">
        <v>12395</v>
      </c>
      <c r="AG338" s="324">
        <v>0</v>
      </c>
      <c r="AH338" s="324"/>
      <c r="AI338" s="312">
        <v>35395</v>
      </c>
      <c r="AJ338" s="327">
        <v>35395</v>
      </c>
      <c r="AK338" s="327">
        <v>0</v>
      </c>
      <c r="AL338" s="328"/>
      <c r="AM338" s="279">
        <v>10000</v>
      </c>
      <c r="AN338" s="279">
        <v>0</v>
      </c>
      <c r="AO338" s="279">
        <v>13000</v>
      </c>
      <c r="AP338" s="279"/>
      <c r="AQ338" s="279">
        <v>12394</v>
      </c>
      <c r="AR338" s="279">
        <v>0</v>
      </c>
      <c r="AS338" s="293">
        <v>35394</v>
      </c>
      <c r="AT338" s="327">
        <v>35394</v>
      </c>
      <c r="AU338" s="327">
        <v>0</v>
      </c>
      <c r="AV338" s="328"/>
      <c r="AW338" s="279"/>
      <c r="AX338" s="279"/>
      <c r="AY338" s="279"/>
      <c r="AZ338" s="279"/>
      <c r="BA338" s="279"/>
      <c r="BB338" s="279"/>
      <c r="BC338" s="293"/>
      <c r="BD338" s="319"/>
      <c r="BE338" s="293"/>
      <c r="BF338" s="319"/>
      <c r="BG338" s="293"/>
      <c r="BH338" s="293"/>
      <c r="BI338" s="337">
        <v>106184</v>
      </c>
      <c r="BJ338" s="338">
        <v>0</v>
      </c>
      <c r="BK338" s="126"/>
    </row>
    <row r="339" spans="1:63" ht="15.75">
      <c r="A339" s="314">
        <v>501346</v>
      </c>
      <c r="B339" s="125" t="s">
        <v>1337</v>
      </c>
      <c r="C339" s="124" t="s">
        <v>1338</v>
      </c>
      <c r="D339" s="126">
        <v>212317</v>
      </c>
      <c r="E339" s="124" t="s">
        <v>1339</v>
      </c>
      <c r="F339" s="124" t="s">
        <v>1340</v>
      </c>
      <c r="G339" s="127" t="s">
        <v>82</v>
      </c>
      <c r="H339" s="126" t="s">
        <v>628</v>
      </c>
      <c r="I339" s="126" t="s">
        <v>598</v>
      </c>
      <c r="J339" s="126" t="s">
        <v>888</v>
      </c>
      <c r="K339" s="128" t="s">
        <v>731</v>
      </c>
      <c r="L339" s="121" t="s">
        <v>515</v>
      </c>
      <c r="M339" s="123" t="s">
        <v>744</v>
      </c>
      <c r="N339" s="129">
        <v>42614</v>
      </c>
      <c r="O339" s="129">
        <v>43830</v>
      </c>
      <c r="P339" s="129">
        <v>43830</v>
      </c>
      <c r="Q339" s="323">
        <v>208500</v>
      </c>
      <c r="R339" s="319"/>
      <c r="S339" s="324">
        <v>45000</v>
      </c>
      <c r="T339" s="324">
        <v>0</v>
      </c>
      <c r="U339" s="324">
        <v>15000</v>
      </c>
      <c r="V339" s="324"/>
      <c r="W339" s="324">
        <v>9500</v>
      </c>
      <c r="X339" s="324"/>
      <c r="Y339" s="312">
        <v>69500</v>
      </c>
      <c r="Z339" s="325">
        <v>69500</v>
      </c>
      <c r="AA339" s="325">
        <v>0</v>
      </c>
      <c r="AB339" s="326"/>
      <c r="AC339" s="324">
        <v>45000</v>
      </c>
      <c r="AD339" s="324">
        <v>0</v>
      </c>
      <c r="AE339" s="324">
        <v>15000</v>
      </c>
      <c r="AF339" s="324"/>
      <c r="AG339" s="324">
        <v>9500</v>
      </c>
      <c r="AH339" s="324"/>
      <c r="AI339" s="312">
        <v>69500</v>
      </c>
      <c r="AJ339" s="327">
        <v>69500</v>
      </c>
      <c r="AK339" s="327">
        <v>0</v>
      </c>
      <c r="AL339" s="328"/>
      <c r="AM339" s="279">
        <v>45000</v>
      </c>
      <c r="AN339" s="279">
        <v>0</v>
      </c>
      <c r="AO339" s="279">
        <v>15000</v>
      </c>
      <c r="AP339" s="279">
        <v>0</v>
      </c>
      <c r="AQ339" s="279">
        <v>9500</v>
      </c>
      <c r="AR339" s="279" t="s">
        <v>602</v>
      </c>
      <c r="AS339" s="293">
        <v>69500</v>
      </c>
      <c r="AT339" s="327">
        <v>69500</v>
      </c>
      <c r="AU339" s="327">
        <v>0</v>
      </c>
      <c r="AV339" s="328"/>
      <c r="AW339" s="279"/>
      <c r="AX339" s="279"/>
      <c r="AY339" s="279"/>
      <c r="AZ339" s="279"/>
      <c r="BA339" s="279"/>
      <c r="BB339" s="279"/>
      <c r="BC339" s="293"/>
      <c r="BD339" s="319"/>
      <c r="BE339" s="293"/>
      <c r="BF339" s="319"/>
      <c r="BG339" s="293"/>
      <c r="BH339" s="293"/>
      <c r="BI339" s="337">
        <v>208500</v>
      </c>
      <c r="BJ339" s="338">
        <v>0</v>
      </c>
      <c r="BK339" s="126"/>
    </row>
    <row r="340" spans="1:63" ht="15.75">
      <c r="A340" s="314">
        <v>501348</v>
      </c>
      <c r="B340" s="125" t="s">
        <v>1341</v>
      </c>
      <c r="C340" s="124" t="s">
        <v>323</v>
      </c>
      <c r="D340" s="126">
        <v>212343</v>
      </c>
      <c r="E340" s="124" t="s">
        <v>1342</v>
      </c>
      <c r="F340" s="124" t="s">
        <v>1343</v>
      </c>
      <c r="G340" s="127" t="s">
        <v>82</v>
      </c>
      <c r="H340" s="126" t="s">
        <v>628</v>
      </c>
      <c r="I340" s="126" t="s">
        <v>598</v>
      </c>
      <c r="J340" s="126" t="s">
        <v>888</v>
      </c>
      <c r="K340" s="128" t="s">
        <v>731</v>
      </c>
      <c r="L340" s="121" t="s">
        <v>515</v>
      </c>
      <c r="M340" s="123" t="s">
        <v>934</v>
      </c>
      <c r="N340" s="129">
        <v>42614</v>
      </c>
      <c r="O340" s="129">
        <v>44286</v>
      </c>
      <c r="P340" s="129">
        <v>44334</v>
      </c>
      <c r="Q340" s="323">
        <v>444000</v>
      </c>
      <c r="R340" s="319"/>
      <c r="S340" s="324">
        <v>120000</v>
      </c>
      <c r="T340" s="324">
        <v>0</v>
      </c>
      <c r="U340" s="324">
        <v>28000</v>
      </c>
      <c r="V340" s="324"/>
      <c r="W340" s="324">
        <v>0</v>
      </c>
      <c r="X340" s="324">
        <v>0</v>
      </c>
      <c r="Y340" s="312">
        <v>148000</v>
      </c>
      <c r="Z340" s="325">
        <v>148000</v>
      </c>
      <c r="AA340" s="325">
        <v>0</v>
      </c>
      <c r="AB340" s="326"/>
      <c r="AC340" s="324">
        <v>120000</v>
      </c>
      <c r="AD340" s="324">
        <v>0</v>
      </c>
      <c r="AE340" s="324">
        <v>28000</v>
      </c>
      <c r="AF340" s="324">
        <v>0</v>
      </c>
      <c r="AG340" s="324">
        <v>0</v>
      </c>
      <c r="AH340" s="324"/>
      <c r="AI340" s="312">
        <v>148000</v>
      </c>
      <c r="AJ340" s="327">
        <v>148000</v>
      </c>
      <c r="AK340" s="327">
        <v>0</v>
      </c>
      <c r="AL340" s="328"/>
      <c r="AM340" s="279">
        <v>120000</v>
      </c>
      <c r="AN340" s="279">
        <v>0</v>
      </c>
      <c r="AO340" s="279">
        <v>28000</v>
      </c>
      <c r="AP340" s="279"/>
      <c r="AQ340" s="279">
        <v>0</v>
      </c>
      <c r="AR340" s="279">
        <v>0</v>
      </c>
      <c r="AS340" s="293">
        <v>148000</v>
      </c>
      <c r="AT340" s="327">
        <v>148000</v>
      </c>
      <c r="AU340" s="327">
        <v>0</v>
      </c>
      <c r="AV340" s="328"/>
      <c r="AW340" s="279"/>
      <c r="AX340" s="279"/>
      <c r="AY340" s="279"/>
      <c r="AZ340" s="279"/>
      <c r="BA340" s="279"/>
      <c r="BB340" s="279"/>
      <c r="BC340" s="293"/>
      <c r="BD340" s="319"/>
      <c r="BE340" s="293"/>
      <c r="BF340" s="319"/>
      <c r="BG340" s="293"/>
      <c r="BH340" s="293"/>
      <c r="BI340" s="337">
        <v>444000</v>
      </c>
      <c r="BJ340" s="338">
        <v>0</v>
      </c>
      <c r="BK340" s="126"/>
    </row>
    <row r="341" spans="1:63" ht="15.75">
      <c r="A341" s="314">
        <v>507778</v>
      </c>
      <c r="B341" s="124" t="s">
        <v>1341</v>
      </c>
      <c r="C341" s="124" t="s">
        <v>323</v>
      </c>
      <c r="D341" s="126">
        <v>212343</v>
      </c>
      <c r="E341" s="124" t="s">
        <v>1342</v>
      </c>
      <c r="F341" s="124" t="s">
        <v>1343</v>
      </c>
      <c r="G341" s="127" t="s">
        <v>82</v>
      </c>
      <c r="H341" s="126" t="s">
        <v>628</v>
      </c>
      <c r="I341" s="126" t="s">
        <v>598</v>
      </c>
      <c r="J341" s="126" t="s">
        <v>888</v>
      </c>
      <c r="K341" s="128" t="s">
        <v>731</v>
      </c>
      <c r="L341" s="121" t="s">
        <v>519</v>
      </c>
      <c r="M341" s="126" t="s">
        <v>965</v>
      </c>
      <c r="N341" s="129">
        <v>43709</v>
      </c>
      <c r="O341" s="129">
        <v>44895</v>
      </c>
      <c r="P341" s="129">
        <v>44895</v>
      </c>
      <c r="Q341" s="323">
        <v>322625</v>
      </c>
      <c r="R341" s="319"/>
      <c r="S341" s="324">
        <v>128750</v>
      </c>
      <c r="T341" s="324">
        <v>0</v>
      </c>
      <c r="U341" s="324">
        <v>15000</v>
      </c>
      <c r="V341" s="324">
        <v>0</v>
      </c>
      <c r="W341" s="324">
        <v>21000</v>
      </c>
      <c r="X341" s="324">
        <v>0</v>
      </c>
      <c r="Y341" s="312">
        <v>164750</v>
      </c>
      <c r="Z341" s="325">
        <v>164750</v>
      </c>
      <c r="AA341" s="325">
        <v>0</v>
      </c>
      <c r="AB341" s="326"/>
      <c r="AC341" s="324">
        <v>103000</v>
      </c>
      <c r="AD341" s="324">
        <v>0</v>
      </c>
      <c r="AE341" s="324">
        <v>15000</v>
      </c>
      <c r="AF341" s="324">
        <v>0</v>
      </c>
      <c r="AG341" s="324">
        <v>21000</v>
      </c>
      <c r="AH341" s="324"/>
      <c r="AI341" s="312">
        <v>139000</v>
      </c>
      <c r="AJ341" s="327">
        <v>139000</v>
      </c>
      <c r="AK341" s="327">
        <v>0</v>
      </c>
      <c r="AL341" s="328"/>
      <c r="AM341" s="324">
        <v>12875</v>
      </c>
      <c r="AN341" s="324">
        <v>0</v>
      </c>
      <c r="AO341" s="324">
        <v>2500</v>
      </c>
      <c r="AP341" s="324">
        <v>0</v>
      </c>
      <c r="AQ341" s="324">
        <v>3500</v>
      </c>
      <c r="AR341" s="279"/>
      <c r="AS341" s="293">
        <v>18875</v>
      </c>
      <c r="AT341" s="327">
        <v>18875</v>
      </c>
      <c r="AU341" s="327">
        <v>0</v>
      </c>
      <c r="AV341" s="328"/>
      <c r="AW341" s="279">
        <v>64375</v>
      </c>
      <c r="AX341" s="279"/>
      <c r="AY341" s="279">
        <v>12500</v>
      </c>
      <c r="AZ341" s="279">
        <v>17500</v>
      </c>
      <c r="BA341" s="279"/>
      <c r="BB341" s="279"/>
      <c r="BC341" s="293">
        <v>94375</v>
      </c>
      <c r="BD341" s="319"/>
      <c r="BE341" s="293"/>
      <c r="BF341" s="319"/>
      <c r="BG341" s="293"/>
      <c r="BH341" s="293"/>
      <c r="BI341" s="337">
        <v>417000</v>
      </c>
      <c r="BJ341" s="338">
        <v>94375</v>
      </c>
      <c r="BK341" s="126"/>
    </row>
    <row r="342" spans="1:63" ht="15.75">
      <c r="A342" s="314">
        <v>499897</v>
      </c>
      <c r="B342" s="125" t="s">
        <v>1344</v>
      </c>
      <c r="C342" s="124" t="s">
        <v>268</v>
      </c>
      <c r="D342" s="126">
        <v>212361</v>
      </c>
      <c r="E342" s="124" t="s">
        <v>1345</v>
      </c>
      <c r="F342" s="124" t="s">
        <v>1346</v>
      </c>
      <c r="G342" s="127" t="s">
        <v>46</v>
      </c>
      <c r="H342" s="126" t="s">
        <v>597</v>
      </c>
      <c r="I342" s="126" t="s">
        <v>598</v>
      </c>
      <c r="J342" s="126" t="s">
        <v>696</v>
      </c>
      <c r="K342" s="128" t="s">
        <v>697</v>
      </c>
      <c r="L342" s="121" t="s">
        <v>637</v>
      </c>
      <c r="M342" s="123" t="s">
        <v>638</v>
      </c>
      <c r="N342" s="129">
        <v>42248</v>
      </c>
      <c r="O342" s="129">
        <v>42895</v>
      </c>
      <c r="P342" s="129">
        <v>42895</v>
      </c>
      <c r="Q342" s="323">
        <v>323331.73</v>
      </c>
      <c r="R342" s="324">
        <v>156414.14000000001</v>
      </c>
      <c r="S342" s="324"/>
      <c r="T342" s="324">
        <v>99998.74</v>
      </c>
      <c r="U342" s="324">
        <v>0</v>
      </c>
      <c r="V342" s="324"/>
      <c r="W342" s="324">
        <v>8585.85</v>
      </c>
      <c r="X342" s="324">
        <v>58333</v>
      </c>
      <c r="Y342" s="312">
        <v>323331.73</v>
      </c>
      <c r="Z342" s="325">
        <v>323331.73</v>
      </c>
      <c r="AA342" s="325">
        <v>0</v>
      </c>
      <c r="AB342" s="326"/>
      <c r="AC342" s="324" t="s">
        <v>602</v>
      </c>
      <c r="AD342" s="324" t="s">
        <v>602</v>
      </c>
      <c r="AE342" s="324" t="s">
        <v>602</v>
      </c>
      <c r="AF342" s="324" t="s">
        <v>602</v>
      </c>
      <c r="AG342" s="324" t="s">
        <v>602</v>
      </c>
      <c r="AH342" s="324"/>
      <c r="AI342" s="312">
        <v>0</v>
      </c>
      <c r="AJ342" s="327">
        <v>0</v>
      </c>
      <c r="AK342" s="327">
        <v>0</v>
      </c>
      <c r="AL342" s="328"/>
      <c r="AM342" s="324" t="s">
        <v>602</v>
      </c>
      <c r="AN342" s="324" t="s">
        <v>602</v>
      </c>
      <c r="AO342" s="324" t="s">
        <v>602</v>
      </c>
      <c r="AP342" s="324" t="s">
        <v>602</v>
      </c>
      <c r="AQ342" s="324" t="s">
        <v>602</v>
      </c>
      <c r="AR342" s="279" t="s">
        <v>602</v>
      </c>
      <c r="AS342" s="293">
        <v>0</v>
      </c>
      <c r="AT342" s="327">
        <v>0</v>
      </c>
      <c r="AU342" s="327">
        <v>0</v>
      </c>
      <c r="AV342" s="328"/>
      <c r="AW342" s="324" t="s">
        <v>602</v>
      </c>
      <c r="AX342" s="324" t="s">
        <v>602</v>
      </c>
      <c r="AY342" s="324" t="s">
        <v>602</v>
      </c>
      <c r="AZ342" s="324" t="s">
        <v>602</v>
      </c>
      <c r="BA342" s="324"/>
      <c r="BB342" s="324" t="s">
        <v>602</v>
      </c>
      <c r="BC342" s="293"/>
      <c r="BD342" s="319"/>
      <c r="BE342" s="293"/>
      <c r="BF342" s="319"/>
      <c r="BG342" s="293"/>
      <c r="BH342" s="293"/>
      <c r="BI342" s="337">
        <v>323331.73</v>
      </c>
      <c r="BJ342" s="338">
        <v>0</v>
      </c>
      <c r="BK342" s="126" t="s">
        <v>1347</v>
      </c>
    </row>
    <row r="343" spans="1:63" ht="15.75">
      <c r="A343" s="314">
        <v>506457</v>
      </c>
      <c r="B343" s="125" t="s">
        <v>1344</v>
      </c>
      <c r="C343" s="124" t="s">
        <v>268</v>
      </c>
      <c r="D343" s="126">
        <v>212361</v>
      </c>
      <c r="E343" s="124" t="s">
        <v>1345</v>
      </c>
      <c r="F343" s="124" t="s">
        <v>1346</v>
      </c>
      <c r="G343" s="127" t="s">
        <v>46</v>
      </c>
      <c r="H343" s="126" t="s">
        <v>628</v>
      </c>
      <c r="I343" s="126" t="s">
        <v>598</v>
      </c>
      <c r="J343" s="126" t="s">
        <v>696</v>
      </c>
      <c r="K343" s="128" t="s">
        <v>697</v>
      </c>
      <c r="L343" s="121" t="s">
        <v>19</v>
      </c>
      <c r="M343" s="123" t="s">
        <v>1009</v>
      </c>
      <c r="N343" s="129">
        <v>43556</v>
      </c>
      <c r="O343" s="129">
        <v>44377</v>
      </c>
      <c r="P343" s="129">
        <v>44377</v>
      </c>
      <c r="Q343" s="323">
        <v>150000</v>
      </c>
      <c r="R343" s="319"/>
      <c r="S343" s="324">
        <v>50000</v>
      </c>
      <c r="T343" s="324">
        <v>0</v>
      </c>
      <c r="U343" s="324">
        <v>20000</v>
      </c>
      <c r="V343" s="324">
        <v>0</v>
      </c>
      <c r="W343" s="324">
        <v>5000</v>
      </c>
      <c r="X343" s="324">
        <v>0</v>
      </c>
      <c r="Y343" s="312">
        <v>75000</v>
      </c>
      <c r="Z343" s="325">
        <v>75000</v>
      </c>
      <c r="AA343" s="325">
        <v>0</v>
      </c>
      <c r="AB343" s="326"/>
      <c r="AC343" s="324">
        <v>50000</v>
      </c>
      <c r="AD343" s="324">
        <v>0</v>
      </c>
      <c r="AE343" s="324">
        <v>20000</v>
      </c>
      <c r="AF343" s="324">
        <v>0</v>
      </c>
      <c r="AG343" s="324">
        <v>5000</v>
      </c>
      <c r="AH343" s="324">
        <v>0</v>
      </c>
      <c r="AI343" s="312">
        <v>75000</v>
      </c>
      <c r="AJ343" s="327">
        <v>75000</v>
      </c>
      <c r="AK343" s="327">
        <v>0</v>
      </c>
      <c r="AL343" s="339"/>
      <c r="AM343" s="324" t="s">
        <v>602</v>
      </c>
      <c r="AN343" s="324" t="s">
        <v>602</v>
      </c>
      <c r="AO343" s="324" t="s">
        <v>602</v>
      </c>
      <c r="AP343" s="324" t="s">
        <v>602</v>
      </c>
      <c r="AQ343" s="324" t="s">
        <v>602</v>
      </c>
      <c r="AR343" s="279"/>
      <c r="AS343" s="293"/>
      <c r="AT343" s="327">
        <v>0</v>
      </c>
      <c r="AU343" s="327">
        <v>0</v>
      </c>
      <c r="AV343" s="328"/>
      <c r="AW343" s="279"/>
      <c r="AX343" s="279"/>
      <c r="AY343" s="279"/>
      <c r="AZ343" s="279"/>
      <c r="BA343" s="279"/>
      <c r="BB343" s="279"/>
      <c r="BC343" s="293"/>
      <c r="BD343" s="319"/>
      <c r="BE343" s="293"/>
      <c r="BF343" s="319"/>
      <c r="BG343" s="293"/>
      <c r="BH343" s="293"/>
      <c r="BI343" s="337">
        <v>150000</v>
      </c>
      <c r="BJ343" s="338">
        <v>0</v>
      </c>
      <c r="BK343" s="282" t="s">
        <v>821</v>
      </c>
    </row>
    <row r="344" spans="1:63" ht="15.75">
      <c r="A344" s="314">
        <v>507639</v>
      </c>
      <c r="B344" s="125" t="s">
        <v>1344</v>
      </c>
      <c r="C344" s="124" t="s">
        <v>268</v>
      </c>
      <c r="D344" s="126">
        <v>212361</v>
      </c>
      <c r="E344" s="124" t="s">
        <v>1345</v>
      </c>
      <c r="F344" s="124" t="s">
        <v>1346</v>
      </c>
      <c r="G344" s="127" t="s">
        <v>46</v>
      </c>
      <c r="H344" s="126" t="s">
        <v>628</v>
      </c>
      <c r="I344" s="126" t="s">
        <v>598</v>
      </c>
      <c r="J344" s="126" t="s">
        <v>696</v>
      </c>
      <c r="K344" s="128" t="s">
        <v>697</v>
      </c>
      <c r="L344" s="121" t="s">
        <v>519</v>
      </c>
      <c r="M344" s="123" t="s">
        <v>847</v>
      </c>
      <c r="N344" s="129">
        <v>43709</v>
      </c>
      <c r="O344" s="129">
        <v>44895</v>
      </c>
      <c r="P344" s="129">
        <v>44895</v>
      </c>
      <c r="Q344" s="323">
        <v>720000</v>
      </c>
      <c r="R344" s="319"/>
      <c r="S344" s="324">
        <v>161415</v>
      </c>
      <c r="T344" s="324"/>
      <c r="U344" s="324">
        <v>49085</v>
      </c>
      <c r="V344" s="324"/>
      <c r="W344" s="324">
        <v>29500</v>
      </c>
      <c r="X344" s="324"/>
      <c r="Y344" s="312">
        <v>240000</v>
      </c>
      <c r="Z344" s="325">
        <v>240000</v>
      </c>
      <c r="AA344" s="325">
        <v>0</v>
      </c>
      <c r="AB344" s="326"/>
      <c r="AC344" s="324">
        <v>167551</v>
      </c>
      <c r="AD344" s="324"/>
      <c r="AE344" s="324">
        <v>45949</v>
      </c>
      <c r="AF344" s="324"/>
      <c r="AG344" s="324">
        <v>26500</v>
      </c>
      <c r="AH344" s="324"/>
      <c r="AI344" s="312">
        <v>240000</v>
      </c>
      <c r="AJ344" s="327">
        <v>240000</v>
      </c>
      <c r="AK344" s="327">
        <v>0</v>
      </c>
      <c r="AL344" s="328"/>
      <c r="AM344" s="324">
        <v>172068</v>
      </c>
      <c r="AN344" s="324"/>
      <c r="AO344" s="324">
        <v>43432</v>
      </c>
      <c r="AP344" s="324"/>
      <c r="AQ344" s="324">
        <v>24500</v>
      </c>
      <c r="AR344" s="324"/>
      <c r="AS344" s="293">
        <v>240000</v>
      </c>
      <c r="AT344" s="327">
        <v>240000</v>
      </c>
      <c r="AU344" s="327">
        <v>0</v>
      </c>
      <c r="AV344" s="328"/>
      <c r="AW344" s="279"/>
      <c r="AX344" s="279"/>
      <c r="AY344" s="279"/>
      <c r="AZ344" s="279"/>
      <c r="BA344" s="279"/>
      <c r="BB344" s="279"/>
      <c r="BC344" s="293"/>
      <c r="BD344" s="319"/>
      <c r="BE344" s="293"/>
      <c r="BF344" s="319"/>
      <c r="BG344" s="293"/>
      <c r="BH344" s="293"/>
      <c r="BI344" s="337">
        <v>720000</v>
      </c>
      <c r="BJ344" s="338">
        <v>0</v>
      </c>
      <c r="BK344" s="126"/>
    </row>
    <row r="345" spans="1:63" ht="15.75">
      <c r="A345" s="314">
        <v>501332</v>
      </c>
      <c r="B345" s="125" t="s">
        <v>1348</v>
      </c>
      <c r="C345" s="124" t="s">
        <v>1349</v>
      </c>
      <c r="D345" s="126">
        <v>212404</v>
      </c>
      <c r="E345" s="121" t="s">
        <v>1350</v>
      </c>
      <c r="F345" s="121" t="s">
        <v>1351</v>
      </c>
      <c r="G345" s="127" t="s">
        <v>68</v>
      </c>
      <c r="H345" s="123" t="s">
        <v>597</v>
      </c>
      <c r="I345" s="126" t="s">
        <v>598</v>
      </c>
      <c r="J345" s="126" t="s">
        <v>888</v>
      </c>
      <c r="K345" s="128" t="s">
        <v>731</v>
      </c>
      <c r="L345" s="121" t="s">
        <v>515</v>
      </c>
      <c r="M345" s="143" t="s">
        <v>839</v>
      </c>
      <c r="N345" s="129">
        <v>42614</v>
      </c>
      <c r="O345" s="129">
        <v>43708</v>
      </c>
      <c r="P345" s="129">
        <v>43708</v>
      </c>
      <c r="Q345" s="330">
        <v>259000</v>
      </c>
      <c r="R345" s="331"/>
      <c r="S345" s="324">
        <v>65000</v>
      </c>
      <c r="T345" s="324">
        <v>0</v>
      </c>
      <c r="U345" s="324">
        <v>10000</v>
      </c>
      <c r="V345" s="324"/>
      <c r="W345" s="324">
        <v>18000</v>
      </c>
      <c r="X345" s="324">
        <v>0</v>
      </c>
      <c r="Y345" s="312">
        <v>93000</v>
      </c>
      <c r="Z345" s="325">
        <v>93000</v>
      </c>
      <c r="AA345" s="325">
        <v>0</v>
      </c>
      <c r="AB345" s="326"/>
      <c r="AC345" s="324">
        <v>65000</v>
      </c>
      <c r="AD345" s="324">
        <v>0</v>
      </c>
      <c r="AE345" s="324">
        <v>0</v>
      </c>
      <c r="AF345" s="324">
        <v>18000</v>
      </c>
      <c r="AG345" s="324">
        <v>0</v>
      </c>
      <c r="AH345" s="324"/>
      <c r="AI345" s="312">
        <v>83000</v>
      </c>
      <c r="AJ345" s="327">
        <v>83000</v>
      </c>
      <c r="AK345" s="327">
        <v>0</v>
      </c>
      <c r="AL345" s="328"/>
      <c r="AM345" s="279">
        <v>65000</v>
      </c>
      <c r="AN345" s="279">
        <v>0</v>
      </c>
      <c r="AO345" s="279">
        <v>0</v>
      </c>
      <c r="AP345" s="279"/>
      <c r="AQ345" s="279">
        <v>18000</v>
      </c>
      <c r="AR345" s="279">
        <v>0</v>
      </c>
      <c r="AS345" s="293">
        <v>83000</v>
      </c>
      <c r="AT345" s="327">
        <v>83000</v>
      </c>
      <c r="AU345" s="327">
        <v>0</v>
      </c>
      <c r="AV345" s="328"/>
      <c r="AW345" s="279"/>
      <c r="AX345" s="279"/>
      <c r="AY345" s="279"/>
      <c r="AZ345" s="279"/>
      <c r="BA345" s="279"/>
      <c r="BB345" s="279"/>
      <c r="BC345" s="293"/>
      <c r="BD345" s="319"/>
      <c r="BE345" s="293"/>
      <c r="BF345" s="319"/>
      <c r="BG345" s="293"/>
      <c r="BH345" s="293"/>
      <c r="BI345" s="337">
        <v>259000</v>
      </c>
      <c r="BJ345" s="338">
        <v>0</v>
      </c>
      <c r="BK345" s="280"/>
    </row>
    <row r="346" spans="1:63" ht="15.75">
      <c r="A346" s="314">
        <v>503283</v>
      </c>
      <c r="B346" s="125" t="s">
        <v>1348</v>
      </c>
      <c r="C346" s="124" t="s">
        <v>1349</v>
      </c>
      <c r="D346" s="126">
        <v>212404</v>
      </c>
      <c r="E346" s="121" t="s">
        <v>1350</v>
      </c>
      <c r="F346" s="121" t="s">
        <v>1351</v>
      </c>
      <c r="G346" s="127" t="s">
        <v>68</v>
      </c>
      <c r="H346" s="123" t="s">
        <v>597</v>
      </c>
      <c r="I346" s="126" t="s">
        <v>598</v>
      </c>
      <c r="J346" s="126" t="s">
        <v>730</v>
      </c>
      <c r="K346" s="128" t="s">
        <v>735</v>
      </c>
      <c r="L346" s="121" t="s">
        <v>19</v>
      </c>
      <c r="M346" s="143" t="s">
        <v>1352</v>
      </c>
      <c r="N346" s="129">
        <v>42917</v>
      </c>
      <c r="O346" s="129">
        <v>43373</v>
      </c>
      <c r="P346" s="129">
        <v>43921</v>
      </c>
      <c r="Q346" s="330">
        <v>27000</v>
      </c>
      <c r="R346" s="331"/>
      <c r="S346" s="324">
        <v>19000</v>
      </c>
      <c r="T346" s="324">
        <v>0</v>
      </c>
      <c r="U346" s="324">
        <v>8000</v>
      </c>
      <c r="V346" s="324">
        <v>0</v>
      </c>
      <c r="W346" s="324">
        <v>0</v>
      </c>
      <c r="X346" s="324">
        <v>0</v>
      </c>
      <c r="Y346" s="312">
        <v>27000</v>
      </c>
      <c r="Z346" s="325">
        <v>27000</v>
      </c>
      <c r="AA346" s="325">
        <v>0</v>
      </c>
      <c r="AB346" s="326"/>
      <c r="AC346" s="324" t="s">
        <v>602</v>
      </c>
      <c r="AD346" s="324" t="s">
        <v>602</v>
      </c>
      <c r="AE346" s="324" t="s">
        <v>602</v>
      </c>
      <c r="AF346" s="324" t="s">
        <v>602</v>
      </c>
      <c r="AG346" s="324" t="s">
        <v>602</v>
      </c>
      <c r="AH346" s="324"/>
      <c r="AI346" s="312">
        <v>0</v>
      </c>
      <c r="AJ346" s="327">
        <v>0</v>
      </c>
      <c r="AK346" s="327">
        <v>0</v>
      </c>
      <c r="AL346" s="339"/>
      <c r="AM346" s="324">
        <v>0</v>
      </c>
      <c r="AN346" s="324">
        <v>0</v>
      </c>
      <c r="AO346" s="324">
        <v>0</v>
      </c>
      <c r="AP346" s="324">
        <v>0</v>
      </c>
      <c r="AQ346" s="324">
        <v>0</v>
      </c>
      <c r="AR346" s="324">
        <v>0</v>
      </c>
      <c r="AS346" s="293">
        <v>0</v>
      </c>
      <c r="AT346" s="327">
        <v>0</v>
      </c>
      <c r="AU346" s="327">
        <v>0</v>
      </c>
      <c r="AV346" s="328"/>
      <c r="AW346" s="279"/>
      <c r="AX346" s="279"/>
      <c r="AY346" s="279"/>
      <c r="AZ346" s="279"/>
      <c r="BA346" s="279"/>
      <c r="BB346" s="279"/>
      <c r="BC346" s="293"/>
      <c r="BD346" s="319"/>
      <c r="BE346" s="293"/>
      <c r="BF346" s="319"/>
      <c r="BG346" s="293"/>
      <c r="BH346" s="293"/>
      <c r="BI346" s="337">
        <v>27000</v>
      </c>
      <c r="BJ346" s="338">
        <v>0</v>
      </c>
      <c r="BK346" s="280" t="s">
        <v>1304</v>
      </c>
    </row>
    <row r="347" spans="1:63" ht="15.75">
      <c r="A347" s="314">
        <v>500385</v>
      </c>
      <c r="B347" s="125" t="s">
        <v>1353</v>
      </c>
      <c r="C347" s="124" t="s">
        <v>255</v>
      </c>
      <c r="D347" s="126">
        <v>212504</v>
      </c>
      <c r="E347" s="124" t="s">
        <v>1354</v>
      </c>
      <c r="F347" s="124" t="s">
        <v>1355</v>
      </c>
      <c r="G347" s="127" t="s">
        <v>68</v>
      </c>
      <c r="H347" s="126" t="s">
        <v>597</v>
      </c>
      <c r="I347" s="126" t="s">
        <v>598</v>
      </c>
      <c r="J347" s="126" t="s">
        <v>888</v>
      </c>
      <c r="K347" s="128" t="s">
        <v>731</v>
      </c>
      <c r="L347" s="121" t="s">
        <v>637</v>
      </c>
      <c r="M347" s="123" t="s">
        <v>638</v>
      </c>
      <c r="N347" s="129">
        <v>42248</v>
      </c>
      <c r="O347" s="129">
        <v>42460</v>
      </c>
      <c r="P347" s="129">
        <v>42573</v>
      </c>
      <c r="Q347" s="323">
        <v>50000</v>
      </c>
      <c r="R347" s="324">
        <v>50000</v>
      </c>
      <c r="S347" s="324"/>
      <c r="T347" s="324">
        <v>0</v>
      </c>
      <c r="U347" s="324">
        <v>0</v>
      </c>
      <c r="V347" s="324"/>
      <c r="W347" s="324">
        <v>0</v>
      </c>
      <c r="X347" s="324">
        <v>0</v>
      </c>
      <c r="Y347" s="312">
        <v>50000</v>
      </c>
      <c r="Z347" s="325">
        <v>50000</v>
      </c>
      <c r="AA347" s="325">
        <v>0</v>
      </c>
      <c r="AB347" s="326"/>
      <c r="AC347" s="324" t="s">
        <v>602</v>
      </c>
      <c r="AD347" s="324" t="s">
        <v>602</v>
      </c>
      <c r="AE347" s="324" t="s">
        <v>602</v>
      </c>
      <c r="AF347" s="324" t="s">
        <v>602</v>
      </c>
      <c r="AG347" s="324" t="s">
        <v>602</v>
      </c>
      <c r="AH347" s="324"/>
      <c r="AI347" s="312">
        <v>0</v>
      </c>
      <c r="AJ347" s="327">
        <v>0</v>
      </c>
      <c r="AK347" s="327">
        <v>0</v>
      </c>
      <c r="AL347" s="328"/>
      <c r="AM347" s="324">
        <v>0</v>
      </c>
      <c r="AN347" s="324">
        <v>0</v>
      </c>
      <c r="AO347" s="324">
        <v>0</v>
      </c>
      <c r="AP347" s="324">
        <v>0</v>
      </c>
      <c r="AQ347" s="324">
        <v>0</v>
      </c>
      <c r="AR347" s="324">
        <v>0</v>
      </c>
      <c r="AS347" s="293">
        <v>0</v>
      </c>
      <c r="AT347" s="327">
        <v>0</v>
      </c>
      <c r="AU347" s="327">
        <v>0</v>
      </c>
      <c r="AV347" s="328"/>
      <c r="AW347" s="324" t="s">
        <v>602</v>
      </c>
      <c r="AX347" s="324" t="s">
        <v>602</v>
      </c>
      <c r="AY347" s="324" t="s">
        <v>602</v>
      </c>
      <c r="AZ347" s="324" t="s">
        <v>602</v>
      </c>
      <c r="BA347" s="324"/>
      <c r="BB347" s="324" t="s">
        <v>602</v>
      </c>
      <c r="BC347" s="293"/>
      <c r="BD347" s="319"/>
      <c r="BE347" s="293"/>
      <c r="BF347" s="319"/>
      <c r="BG347" s="293"/>
      <c r="BH347" s="293"/>
      <c r="BI347" s="337">
        <v>50000</v>
      </c>
      <c r="BJ347" s="338">
        <v>0</v>
      </c>
      <c r="BK347" s="126" t="s">
        <v>844</v>
      </c>
    </row>
    <row r="348" spans="1:63" ht="15.75">
      <c r="A348" s="314">
        <v>501332</v>
      </c>
      <c r="B348" s="125" t="s">
        <v>1353</v>
      </c>
      <c r="C348" s="124" t="s">
        <v>255</v>
      </c>
      <c r="D348" s="126">
        <v>212504</v>
      </c>
      <c r="E348" s="124" t="s">
        <v>1354</v>
      </c>
      <c r="F348" s="124" t="s">
        <v>1355</v>
      </c>
      <c r="G348" s="127" t="s">
        <v>68</v>
      </c>
      <c r="H348" s="126" t="s">
        <v>628</v>
      </c>
      <c r="I348" s="126" t="s">
        <v>598</v>
      </c>
      <c r="J348" s="126" t="s">
        <v>888</v>
      </c>
      <c r="K348" s="128" t="s">
        <v>731</v>
      </c>
      <c r="L348" s="121" t="s">
        <v>515</v>
      </c>
      <c r="M348" s="123" t="s">
        <v>839</v>
      </c>
      <c r="N348" s="129">
        <v>42614</v>
      </c>
      <c r="O348" s="129">
        <v>43708</v>
      </c>
      <c r="P348" s="129">
        <v>43708</v>
      </c>
      <c r="Q348" s="323">
        <v>185000</v>
      </c>
      <c r="R348" s="319"/>
      <c r="S348" s="324">
        <v>36500</v>
      </c>
      <c r="T348" s="324">
        <v>0</v>
      </c>
      <c r="U348" s="324">
        <v>28500</v>
      </c>
      <c r="V348" s="324"/>
      <c r="W348" s="324">
        <v>0</v>
      </c>
      <c r="X348" s="324">
        <v>0</v>
      </c>
      <c r="Y348" s="312">
        <v>65000</v>
      </c>
      <c r="Z348" s="325">
        <v>65000</v>
      </c>
      <c r="AA348" s="325">
        <v>0</v>
      </c>
      <c r="AB348" s="326"/>
      <c r="AC348" s="324">
        <v>31500</v>
      </c>
      <c r="AD348" s="324">
        <v>0</v>
      </c>
      <c r="AE348" s="324">
        <v>28500</v>
      </c>
      <c r="AF348" s="324">
        <v>0</v>
      </c>
      <c r="AG348" s="324">
        <v>0</v>
      </c>
      <c r="AH348" s="324"/>
      <c r="AI348" s="312">
        <v>60000</v>
      </c>
      <c r="AJ348" s="327">
        <v>60000</v>
      </c>
      <c r="AK348" s="327">
        <v>0</v>
      </c>
      <c r="AL348" s="328"/>
      <c r="AM348" s="279">
        <v>31500</v>
      </c>
      <c r="AN348" s="279">
        <v>0</v>
      </c>
      <c r="AO348" s="279">
        <v>28500</v>
      </c>
      <c r="AP348" s="279"/>
      <c r="AQ348" s="279">
        <v>0</v>
      </c>
      <c r="AR348" s="279">
        <v>0</v>
      </c>
      <c r="AS348" s="293">
        <v>60000</v>
      </c>
      <c r="AT348" s="327">
        <v>60000</v>
      </c>
      <c r="AU348" s="327">
        <v>0</v>
      </c>
      <c r="AV348" s="328"/>
      <c r="AW348" s="279"/>
      <c r="AX348" s="279"/>
      <c r="AY348" s="279"/>
      <c r="AZ348" s="279"/>
      <c r="BA348" s="279"/>
      <c r="BB348" s="279"/>
      <c r="BC348" s="293"/>
      <c r="BD348" s="319"/>
      <c r="BE348" s="293"/>
      <c r="BF348" s="319"/>
      <c r="BG348" s="293"/>
      <c r="BH348" s="293"/>
      <c r="BI348" s="337">
        <v>185000</v>
      </c>
      <c r="BJ348" s="338">
        <v>0</v>
      </c>
      <c r="BK348" s="126"/>
    </row>
    <row r="349" spans="1:63" ht="15.75">
      <c r="A349" s="314">
        <v>501333</v>
      </c>
      <c r="B349" s="125" t="s">
        <v>1353</v>
      </c>
      <c r="C349" s="124" t="s">
        <v>255</v>
      </c>
      <c r="D349" s="126">
        <v>212504</v>
      </c>
      <c r="E349" s="124" t="s">
        <v>1354</v>
      </c>
      <c r="F349" s="124" t="s">
        <v>1355</v>
      </c>
      <c r="G349" s="127" t="s">
        <v>68</v>
      </c>
      <c r="H349" s="126" t="s">
        <v>628</v>
      </c>
      <c r="I349" s="126" t="s">
        <v>598</v>
      </c>
      <c r="J349" s="126" t="s">
        <v>888</v>
      </c>
      <c r="K349" s="128" t="s">
        <v>731</v>
      </c>
      <c r="L349" s="121" t="s">
        <v>515</v>
      </c>
      <c r="M349" s="123" t="s">
        <v>797</v>
      </c>
      <c r="N349" s="129">
        <v>42614</v>
      </c>
      <c r="O349" s="129">
        <v>43830</v>
      </c>
      <c r="P349" s="129">
        <v>44144</v>
      </c>
      <c r="Q349" s="323">
        <v>319225</v>
      </c>
      <c r="R349" s="319"/>
      <c r="S349" s="324">
        <v>61150</v>
      </c>
      <c r="T349" s="324">
        <v>0</v>
      </c>
      <c r="U349" s="324">
        <v>28850</v>
      </c>
      <c r="V349" s="324"/>
      <c r="W349" s="324">
        <v>49225</v>
      </c>
      <c r="X349" s="324">
        <v>0</v>
      </c>
      <c r="Y349" s="312">
        <v>139225</v>
      </c>
      <c r="Z349" s="325">
        <v>139225</v>
      </c>
      <c r="AA349" s="325">
        <v>0</v>
      </c>
      <c r="AB349" s="326"/>
      <c r="AC349" s="324">
        <v>61150</v>
      </c>
      <c r="AD349" s="324">
        <v>0</v>
      </c>
      <c r="AE349" s="324">
        <v>28850</v>
      </c>
      <c r="AF349" s="324">
        <v>0</v>
      </c>
      <c r="AG349" s="324">
        <v>0</v>
      </c>
      <c r="AH349" s="324"/>
      <c r="AI349" s="312">
        <v>90000</v>
      </c>
      <c r="AJ349" s="327">
        <v>90000</v>
      </c>
      <c r="AK349" s="327">
        <v>0</v>
      </c>
      <c r="AL349" s="328"/>
      <c r="AM349" s="279">
        <v>61150</v>
      </c>
      <c r="AN349" s="279">
        <v>0</v>
      </c>
      <c r="AO349" s="279">
        <v>28850</v>
      </c>
      <c r="AP349" s="279"/>
      <c r="AQ349" s="279">
        <v>0</v>
      </c>
      <c r="AR349" s="279">
        <v>0</v>
      </c>
      <c r="AS349" s="293">
        <v>90000</v>
      </c>
      <c r="AT349" s="327">
        <v>90000</v>
      </c>
      <c r="AU349" s="327">
        <v>0</v>
      </c>
      <c r="AV349" s="328"/>
      <c r="AW349" s="279"/>
      <c r="AX349" s="279"/>
      <c r="AY349" s="279"/>
      <c r="AZ349" s="279"/>
      <c r="BA349" s="279"/>
      <c r="BB349" s="279"/>
      <c r="BC349" s="293"/>
      <c r="BD349" s="319"/>
      <c r="BE349" s="293"/>
      <c r="BF349" s="319"/>
      <c r="BG349" s="293"/>
      <c r="BH349" s="293"/>
      <c r="BI349" s="337">
        <v>319225</v>
      </c>
      <c r="BJ349" s="338">
        <v>0</v>
      </c>
      <c r="BK349" s="126"/>
    </row>
    <row r="350" spans="1:63" ht="15.75">
      <c r="A350" s="314">
        <v>505082</v>
      </c>
      <c r="B350" s="125" t="s">
        <v>1353</v>
      </c>
      <c r="C350" s="124" t="s">
        <v>255</v>
      </c>
      <c r="D350" s="126">
        <v>212504</v>
      </c>
      <c r="E350" s="124" t="s">
        <v>1354</v>
      </c>
      <c r="F350" s="124" t="s">
        <v>1355</v>
      </c>
      <c r="G350" s="127" t="s">
        <v>68</v>
      </c>
      <c r="H350" s="126" t="s">
        <v>597</v>
      </c>
      <c r="I350" s="126" t="s">
        <v>598</v>
      </c>
      <c r="J350" s="126" t="s">
        <v>888</v>
      </c>
      <c r="K350" s="128" t="s">
        <v>731</v>
      </c>
      <c r="L350" s="121" t="s">
        <v>517</v>
      </c>
      <c r="M350" s="123" t="s">
        <v>1356</v>
      </c>
      <c r="N350" s="129">
        <v>43191</v>
      </c>
      <c r="O350" s="129">
        <v>44286</v>
      </c>
      <c r="P350" s="129">
        <v>44286</v>
      </c>
      <c r="Q350" s="323">
        <v>150000</v>
      </c>
      <c r="R350" s="319"/>
      <c r="S350" s="324">
        <v>50000</v>
      </c>
      <c r="T350" s="324">
        <v>0</v>
      </c>
      <c r="U350" s="324">
        <v>0</v>
      </c>
      <c r="V350" s="324"/>
      <c r="W350" s="324">
        <v>0</v>
      </c>
      <c r="X350" s="324">
        <v>0</v>
      </c>
      <c r="Y350" s="312">
        <v>50000</v>
      </c>
      <c r="Z350" s="325">
        <v>50000</v>
      </c>
      <c r="AA350" s="325">
        <v>0</v>
      </c>
      <c r="AB350" s="326"/>
      <c r="AC350" s="324">
        <v>50000</v>
      </c>
      <c r="AD350" s="324">
        <v>0</v>
      </c>
      <c r="AE350" s="324">
        <v>0</v>
      </c>
      <c r="AF350" s="324">
        <v>0</v>
      </c>
      <c r="AG350" s="324">
        <v>0</v>
      </c>
      <c r="AH350" s="324"/>
      <c r="AI350" s="312">
        <v>50000</v>
      </c>
      <c r="AJ350" s="327">
        <v>50000</v>
      </c>
      <c r="AK350" s="327">
        <v>0</v>
      </c>
      <c r="AL350" s="328"/>
      <c r="AM350" s="324">
        <v>50000</v>
      </c>
      <c r="AN350" s="324">
        <v>0</v>
      </c>
      <c r="AO350" s="324">
        <v>0</v>
      </c>
      <c r="AP350" s="324">
        <v>0</v>
      </c>
      <c r="AQ350" s="324">
        <v>0</v>
      </c>
      <c r="AR350" s="279"/>
      <c r="AS350" s="293">
        <v>50000</v>
      </c>
      <c r="AT350" s="327">
        <v>50000</v>
      </c>
      <c r="AU350" s="327">
        <v>0</v>
      </c>
      <c r="AV350" s="328"/>
      <c r="AW350" s="279"/>
      <c r="AX350" s="279"/>
      <c r="AY350" s="279"/>
      <c r="AZ350" s="279"/>
      <c r="BA350" s="279"/>
      <c r="BB350" s="279"/>
      <c r="BC350" s="293"/>
      <c r="BD350" s="319"/>
      <c r="BE350" s="293"/>
      <c r="BF350" s="319"/>
      <c r="BG350" s="293"/>
      <c r="BH350" s="293"/>
      <c r="BI350" s="337">
        <v>150000</v>
      </c>
      <c r="BJ350" s="338">
        <v>0</v>
      </c>
      <c r="BK350" s="126" t="s">
        <v>846</v>
      </c>
    </row>
    <row r="351" spans="1:63" ht="15.75">
      <c r="A351" s="314">
        <v>507638</v>
      </c>
      <c r="B351" s="125" t="s">
        <v>1353</v>
      </c>
      <c r="C351" s="124" t="s">
        <v>255</v>
      </c>
      <c r="D351" s="126">
        <v>212504</v>
      </c>
      <c r="E351" s="124" t="s">
        <v>1354</v>
      </c>
      <c r="F351" s="124" t="s">
        <v>1355</v>
      </c>
      <c r="G351" s="127" t="s">
        <v>68</v>
      </c>
      <c r="H351" s="126" t="s">
        <v>597</v>
      </c>
      <c r="I351" s="126" t="s">
        <v>598</v>
      </c>
      <c r="J351" s="126" t="s">
        <v>888</v>
      </c>
      <c r="K351" s="128" t="s">
        <v>731</v>
      </c>
      <c r="L351" s="121" t="s">
        <v>519</v>
      </c>
      <c r="M351" s="123" t="s">
        <v>791</v>
      </c>
      <c r="N351" s="129">
        <v>43709</v>
      </c>
      <c r="O351" s="129">
        <v>44895</v>
      </c>
      <c r="P351" s="129">
        <v>44895</v>
      </c>
      <c r="Q351" s="323">
        <v>400000</v>
      </c>
      <c r="R351" s="319"/>
      <c r="S351" s="324">
        <v>69500</v>
      </c>
      <c r="T351" s="324"/>
      <c r="U351" s="324">
        <v>3500</v>
      </c>
      <c r="V351" s="324"/>
      <c r="W351" s="324">
        <v>60000</v>
      </c>
      <c r="X351" s="324"/>
      <c r="Y351" s="312">
        <v>133000</v>
      </c>
      <c r="Z351" s="325">
        <v>133000</v>
      </c>
      <c r="AA351" s="325">
        <v>0</v>
      </c>
      <c r="AB351" s="326"/>
      <c r="AC351" s="324">
        <v>69500</v>
      </c>
      <c r="AD351" s="324"/>
      <c r="AE351" s="324">
        <v>4000</v>
      </c>
      <c r="AF351" s="324"/>
      <c r="AG351" s="324">
        <v>60000</v>
      </c>
      <c r="AH351" s="324"/>
      <c r="AI351" s="312">
        <v>133500</v>
      </c>
      <c r="AJ351" s="327">
        <v>133500</v>
      </c>
      <c r="AK351" s="327">
        <v>0</v>
      </c>
      <c r="AL351" s="328"/>
      <c r="AM351" s="324">
        <v>69500</v>
      </c>
      <c r="AN351" s="324">
        <v>0</v>
      </c>
      <c r="AO351" s="324">
        <v>4000</v>
      </c>
      <c r="AP351" s="324">
        <v>0</v>
      </c>
      <c r="AQ351" s="324">
        <v>60000</v>
      </c>
      <c r="AR351" s="279"/>
      <c r="AS351" s="293">
        <v>133500</v>
      </c>
      <c r="AT351" s="327">
        <v>133500</v>
      </c>
      <c r="AU351" s="327">
        <v>0</v>
      </c>
      <c r="AV351" s="328"/>
      <c r="AW351" s="279"/>
      <c r="AX351" s="279"/>
      <c r="AY351" s="279"/>
      <c r="AZ351" s="279"/>
      <c r="BA351" s="279"/>
      <c r="BB351" s="279"/>
      <c r="BC351" s="293"/>
      <c r="BD351" s="319"/>
      <c r="BE351" s="293"/>
      <c r="BF351" s="319"/>
      <c r="BG351" s="293"/>
      <c r="BH351" s="293"/>
      <c r="BI351" s="337">
        <v>400000</v>
      </c>
      <c r="BJ351" s="338">
        <v>0</v>
      </c>
      <c r="BK351" s="126"/>
    </row>
    <row r="352" spans="1:63" ht="15.75">
      <c r="A352" s="314">
        <v>500009</v>
      </c>
      <c r="B352" s="125" t="s">
        <v>1357</v>
      </c>
      <c r="C352" s="124" t="s">
        <v>1358</v>
      </c>
      <c r="D352" s="126">
        <v>212561</v>
      </c>
      <c r="E352" s="124" t="s">
        <v>1359</v>
      </c>
      <c r="F352" s="124" t="s">
        <v>1203</v>
      </c>
      <c r="G352" s="127" t="s">
        <v>46</v>
      </c>
      <c r="H352" s="126" t="s">
        <v>597</v>
      </c>
      <c r="I352" s="123" t="s">
        <v>703</v>
      </c>
      <c r="J352" s="126" t="s">
        <v>774</v>
      </c>
      <c r="K352" s="128" t="s">
        <v>775</v>
      </c>
      <c r="L352" s="121" t="s">
        <v>652</v>
      </c>
      <c r="M352" s="123" t="s">
        <v>638</v>
      </c>
      <c r="N352" s="129">
        <v>42339</v>
      </c>
      <c r="O352" s="129">
        <v>42668</v>
      </c>
      <c r="P352" s="129">
        <v>42668</v>
      </c>
      <c r="Q352" s="323">
        <v>25000</v>
      </c>
      <c r="R352" s="319"/>
      <c r="S352" s="324">
        <v>25000</v>
      </c>
      <c r="T352" s="324">
        <v>0</v>
      </c>
      <c r="U352" s="324">
        <v>0</v>
      </c>
      <c r="V352" s="324"/>
      <c r="W352" s="324">
        <v>0</v>
      </c>
      <c r="X352" s="324">
        <v>0</v>
      </c>
      <c r="Y352" s="312">
        <v>25000</v>
      </c>
      <c r="Z352" s="325">
        <v>25000</v>
      </c>
      <c r="AA352" s="325">
        <v>0</v>
      </c>
      <c r="AB352" s="326"/>
      <c r="AC352" s="324" t="s">
        <v>602</v>
      </c>
      <c r="AD352" s="324" t="s">
        <v>602</v>
      </c>
      <c r="AE352" s="324" t="s">
        <v>602</v>
      </c>
      <c r="AF352" s="324" t="s">
        <v>602</v>
      </c>
      <c r="AG352" s="324" t="s">
        <v>602</v>
      </c>
      <c r="AH352" s="324"/>
      <c r="AI352" s="312">
        <v>0</v>
      </c>
      <c r="AJ352" s="327">
        <v>0</v>
      </c>
      <c r="AK352" s="327">
        <v>0</v>
      </c>
      <c r="AL352" s="328"/>
      <c r="AM352" s="324">
        <v>0</v>
      </c>
      <c r="AN352" s="324">
        <v>0</v>
      </c>
      <c r="AO352" s="324">
        <v>0</v>
      </c>
      <c r="AP352" s="324">
        <v>0</v>
      </c>
      <c r="AQ352" s="324">
        <v>0</v>
      </c>
      <c r="AR352" s="324">
        <v>0</v>
      </c>
      <c r="AS352" s="293">
        <v>0</v>
      </c>
      <c r="AT352" s="327">
        <v>0</v>
      </c>
      <c r="AU352" s="327">
        <v>0</v>
      </c>
      <c r="AV352" s="328"/>
      <c r="AW352" s="279"/>
      <c r="AX352" s="279"/>
      <c r="AY352" s="279"/>
      <c r="AZ352" s="279"/>
      <c r="BA352" s="279"/>
      <c r="BB352" s="279"/>
      <c r="BC352" s="293"/>
      <c r="BD352" s="319"/>
      <c r="BE352" s="293"/>
      <c r="BF352" s="319"/>
      <c r="BG352" s="293"/>
      <c r="BH352" s="293"/>
      <c r="BI352" s="337">
        <v>25000</v>
      </c>
      <c r="BJ352" s="338">
        <v>0</v>
      </c>
      <c r="BK352" s="126" t="s">
        <v>766</v>
      </c>
    </row>
    <row r="353" spans="1:63" ht="15.75">
      <c r="A353" s="314">
        <v>501335</v>
      </c>
      <c r="B353" s="125" t="s">
        <v>1357</v>
      </c>
      <c r="C353" s="124" t="s">
        <v>1358</v>
      </c>
      <c r="D353" s="126">
        <v>212561</v>
      </c>
      <c r="E353" s="124" t="s">
        <v>1359</v>
      </c>
      <c r="F353" s="124" t="s">
        <v>1203</v>
      </c>
      <c r="G353" s="127" t="s">
        <v>46</v>
      </c>
      <c r="H353" s="126" t="s">
        <v>628</v>
      </c>
      <c r="I353" s="123" t="s">
        <v>703</v>
      </c>
      <c r="J353" s="126" t="s">
        <v>774</v>
      </c>
      <c r="K353" s="128" t="s">
        <v>775</v>
      </c>
      <c r="L353" s="121" t="s">
        <v>515</v>
      </c>
      <c r="M353" s="123" t="s">
        <v>994</v>
      </c>
      <c r="N353" s="129">
        <v>42614</v>
      </c>
      <c r="O353" s="129">
        <v>43708</v>
      </c>
      <c r="P353" s="129">
        <v>43798</v>
      </c>
      <c r="Q353" s="323">
        <v>60000</v>
      </c>
      <c r="R353" s="319"/>
      <c r="S353" s="324">
        <v>10000</v>
      </c>
      <c r="T353" s="324">
        <v>0</v>
      </c>
      <c r="U353" s="324">
        <v>10000</v>
      </c>
      <c r="V353" s="324"/>
      <c r="W353" s="324">
        <v>0</v>
      </c>
      <c r="X353" s="324">
        <v>0</v>
      </c>
      <c r="Y353" s="312">
        <v>20000</v>
      </c>
      <c r="Z353" s="325">
        <v>20000</v>
      </c>
      <c r="AA353" s="325">
        <v>0</v>
      </c>
      <c r="AB353" s="326"/>
      <c r="AC353" s="324">
        <v>10000</v>
      </c>
      <c r="AD353" s="324">
        <v>0</v>
      </c>
      <c r="AE353" s="324">
        <v>10000</v>
      </c>
      <c r="AF353" s="324">
        <v>0</v>
      </c>
      <c r="AG353" s="324">
        <v>0</v>
      </c>
      <c r="AH353" s="324"/>
      <c r="AI353" s="312">
        <v>20000</v>
      </c>
      <c r="AJ353" s="327">
        <v>20000</v>
      </c>
      <c r="AK353" s="327">
        <v>0</v>
      </c>
      <c r="AL353" s="328"/>
      <c r="AM353" s="279">
        <v>10000</v>
      </c>
      <c r="AN353" s="279">
        <v>0</v>
      </c>
      <c r="AO353" s="279">
        <v>10000</v>
      </c>
      <c r="AP353" s="279"/>
      <c r="AQ353" s="279">
        <v>0</v>
      </c>
      <c r="AR353" s="279">
        <v>0</v>
      </c>
      <c r="AS353" s="293">
        <v>20000</v>
      </c>
      <c r="AT353" s="327">
        <v>20000</v>
      </c>
      <c r="AU353" s="327">
        <v>0</v>
      </c>
      <c r="AV353" s="328"/>
      <c r="AW353" s="279"/>
      <c r="AX353" s="279"/>
      <c r="AY353" s="279"/>
      <c r="AZ353" s="279"/>
      <c r="BA353" s="279"/>
      <c r="BB353" s="279"/>
      <c r="BC353" s="293"/>
      <c r="BD353" s="319"/>
      <c r="BE353" s="293"/>
      <c r="BF353" s="319"/>
      <c r="BG353" s="293"/>
      <c r="BH353" s="293"/>
      <c r="BI353" s="337">
        <v>60000</v>
      </c>
      <c r="BJ353" s="338">
        <v>0</v>
      </c>
      <c r="BK353" s="126"/>
    </row>
    <row r="354" spans="1:63" ht="15.75">
      <c r="A354" s="314">
        <v>503282</v>
      </c>
      <c r="B354" s="125" t="s">
        <v>1357</v>
      </c>
      <c r="C354" s="124" t="s">
        <v>1358</v>
      </c>
      <c r="D354" s="126">
        <v>212561</v>
      </c>
      <c r="E354" s="124" t="s">
        <v>1359</v>
      </c>
      <c r="F354" s="124" t="s">
        <v>1203</v>
      </c>
      <c r="G354" s="127" t="s">
        <v>46</v>
      </c>
      <c r="H354" s="126" t="s">
        <v>597</v>
      </c>
      <c r="I354" s="123" t="s">
        <v>703</v>
      </c>
      <c r="J354" s="126" t="s">
        <v>774</v>
      </c>
      <c r="K354" s="128" t="s">
        <v>775</v>
      </c>
      <c r="L354" s="121" t="s">
        <v>19</v>
      </c>
      <c r="M354" s="123" t="s">
        <v>1360</v>
      </c>
      <c r="N354" s="129">
        <v>42917</v>
      </c>
      <c r="O354" s="129">
        <v>43373</v>
      </c>
      <c r="P354" s="129">
        <v>43190</v>
      </c>
      <c r="Q354" s="323">
        <v>30000</v>
      </c>
      <c r="R354" s="319"/>
      <c r="S354" s="324">
        <v>15000</v>
      </c>
      <c r="T354" s="324">
        <v>0</v>
      </c>
      <c r="U354" s="324">
        <v>15000</v>
      </c>
      <c r="V354" s="324">
        <v>0</v>
      </c>
      <c r="W354" s="324">
        <v>0</v>
      </c>
      <c r="X354" s="324">
        <v>0</v>
      </c>
      <c r="Y354" s="312">
        <v>30000</v>
      </c>
      <c r="Z354" s="325">
        <v>30000</v>
      </c>
      <c r="AA354" s="325">
        <v>0</v>
      </c>
      <c r="AB354" s="326"/>
      <c r="AC354" s="324" t="s">
        <v>602</v>
      </c>
      <c r="AD354" s="324" t="s">
        <v>602</v>
      </c>
      <c r="AE354" s="324" t="s">
        <v>602</v>
      </c>
      <c r="AF354" s="324" t="s">
        <v>602</v>
      </c>
      <c r="AG354" s="324" t="s">
        <v>602</v>
      </c>
      <c r="AH354" s="324"/>
      <c r="AI354" s="312">
        <v>0</v>
      </c>
      <c r="AJ354" s="327">
        <v>0</v>
      </c>
      <c r="AK354" s="327">
        <v>0</v>
      </c>
      <c r="AL354" s="339"/>
      <c r="AM354" s="324">
        <v>0</v>
      </c>
      <c r="AN354" s="324">
        <v>0</v>
      </c>
      <c r="AO354" s="324">
        <v>0</v>
      </c>
      <c r="AP354" s="324">
        <v>0</v>
      </c>
      <c r="AQ354" s="324">
        <v>0</v>
      </c>
      <c r="AR354" s="324">
        <v>0</v>
      </c>
      <c r="AS354" s="293">
        <v>0</v>
      </c>
      <c r="AT354" s="327">
        <v>0</v>
      </c>
      <c r="AU354" s="327">
        <v>0</v>
      </c>
      <c r="AV354" s="328"/>
      <c r="AW354" s="279"/>
      <c r="AX354" s="279"/>
      <c r="AY354" s="279"/>
      <c r="AZ354" s="279"/>
      <c r="BA354" s="279"/>
      <c r="BB354" s="279"/>
      <c r="BC354" s="293"/>
      <c r="BD354" s="319"/>
      <c r="BE354" s="293"/>
      <c r="BF354" s="319"/>
      <c r="BG354" s="293"/>
      <c r="BH354" s="293"/>
      <c r="BI354" s="337">
        <v>30000</v>
      </c>
      <c r="BJ354" s="338">
        <v>0</v>
      </c>
      <c r="BK354" s="126" t="s">
        <v>1361</v>
      </c>
    </row>
    <row r="355" spans="1:63" ht="15.75">
      <c r="A355" s="314">
        <v>501333</v>
      </c>
      <c r="B355" s="125" t="s">
        <v>1362</v>
      </c>
      <c r="C355" s="124" t="s">
        <v>1363</v>
      </c>
      <c r="D355" s="126">
        <v>212630</v>
      </c>
      <c r="E355" s="124" t="s">
        <v>1364</v>
      </c>
      <c r="F355" s="124" t="s">
        <v>1365</v>
      </c>
      <c r="G355" s="127" t="s">
        <v>46</v>
      </c>
      <c r="H355" s="126" t="s">
        <v>628</v>
      </c>
      <c r="I355" s="126" t="s">
        <v>598</v>
      </c>
      <c r="J355" s="126" t="s">
        <v>888</v>
      </c>
      <c r="K355" s="128" t="s">
        <v>731</v>
      </c>
      <c r="L355" s="121" t="s">
        <v>515</v>
      </c>
      <c r="M355" s="123" t="s">
        <v>797</v>
      </c>
      <c r="N355" s="129">
        <v>42614</v>
      </c>
      <c r="O355" s="129">
        <v>43830</v>
      </c>
      <c r="P355" s="129">
        <v>44144</v>
      </c>
      <c r="Q355" s="323">
        <v>270000</v>
      </c>
      <c r="R355" s="319"/>
      <c r="S355" s="324">
        <v>90000</v>
      </c>
      <c r="T355" s="324">
        <v>0</v>
      </c>
      <c r="U355" s="324">
        <v>0</v>
      </c>
      <c r="V355" s="324"/>
      <c r="W355" s="324">
        <v>0</v>
      </c>
      <c r="X355" s="324">
        <v>0</v>
      </c>
      <c r="Y355" s="312">
        <v>90000</v>
      </c>
      <c r="Z355" s="325">
        <v>90000</v>
      </c>
      <c r="AA355" s="325">
        <v>0</v>
      </c>
      <c r="AB355" s="326"/>
      <c r="AC355" s="324">
        <v>90000</v>
      </c>
      <c r="AD355" s="324">
        <v>0</v>
      </c>
      <c r="AE355" s="324">
        <v>0</v>
      </c>
      <c r="AF355" s="324">
        <v>0</v>
      </c>
      <c r="AG355" s="324">
        <v>0</v>
      </c>
      <c r="AH355" s="324"/>
      <c r="AI355" s="312">
        <v>90000</v>
      </c>
      <c r="AJ355" s="327">
        <v>90000</v>
      </c>
      <c r="AK355" s="327">
        <v>0</v>
      </c>
      <c r="AL355" s="328"/>
      <c r="AM355" s="279">
        <v>90000</v>
      </c>
      <c r="AN355" s="279">
        <v>0</v>
      </c>
      <c r="AO355" s="279">
        <v>0</v>
      </c>
      <c r="AP355" s="279"/>
      <c r="AQ355" s="279">
        <v>0</v>
      </c>
      <c r="AR355" s="279">
        <v>0</v>
      </c>
      <c r="AS355" s="293">
        <v>90000</v>
      </c>
      <c r="AT355" s="327">
        <v>90000</v>
      </c>
      <c r="AU355" s="327">
        <v>0</v>
      </c>
      <c r="AV355" s="328"/>
      <c r="AW355" s="279"/>
      <c r="AX355" s="279"/>
      <c r="AY355" s="279"/>
      <c r="AZ355" s="279"/>
      <c r="BA355" s="279"/>
      <c r="BB355" s="279"/>
      <c r="BC355" s="293"/>
      <c r="BD355" s="319"/>
      <c r="BE355" s="293"/>
      <c r="BF355" s="319"/>
      <c r="BG355" s="293"/>
      <c r="BH355" s="293"/>
      <c r="BI355" s="337">
        <v>270000</v>
      </c>
      <c r="BJ355" s="338">
        <v>0</v>
      </c>
      <c r="BK355" s="126" t="s">
        <v>1366</v>
      </c>
    </row>
    <row r="356" spans="1:63" ht="15.75">
      <c r="A356" s="314">
        <v>511140</v>
      </c>
      <c r="B356" s="125" t="s">
        <v>1362</v>
      </c>
      <c r="C356" s="124" t="s">
        <v>1363</v>
      </c>
      <c r="D356" s="126">
        <v>212630</v>
      </c>
      <c r="E356" s="124" t="s">
        <v>1364</v>
      </c>
      <c r="F356" s="124" t="s">
        <v>1365</v>
      </c>
      <c r="G356" s="127" t="s">
        <v>46</v>
      </c>
      <c r="H356" s="126" t="s">
        <v>597</v>
      </c>
      <c r="I356" s="126" t="s">
        <v>598</v>
      </c>
      <c r="J356" s="126" t="s">
        <v>888</v>
      </c>
      <c r="K356" s="128" t="s">
        <v>731</v>
      </c>
      <c r="L356" s="121" t="s">
        <v>19</v>
      </c>
      <c r="M356" s="123" t="s">
        <v>1367</v>
      </c>
      <c r="N356" s="129">
        <v>44044</v>
      </c>
      <c r="O356" s="129">
        <v>44408</v>
      </c>
      <c r="P356" s="129">
        <v>44408</v>
      </c>
      <c r="Q356" s="323">
        <v>100000</v>
      </c>
      <c r="R356" s="319"/>
      <c r="S356" s="324">
        <v>100000</v>
      </c>
      <c r="T356" s="324">
        <v>0</v>
      </c>
      <c r="U356" s="324"/>
      <c r="V356" s="324"/>
      <c r="W356" s="324">
        <v>0</v>
      </c>
      <c r="X356" s="324"/>
      <c r="Y356" s="312">
        <v>100000</v>
      </c>
      <c r="Z356" s="325">
        <v>100000</v>
      </c>
      <c r="AA356" s="325">
        <v>0</v>
      </c>
      <c r="AB356" s="326">
        <v>0</v>
      </c>
      <c r="AC356" s="324">
        <v>0</v>
      </c>
      <c r="AD356" s="324">
        <v>0</v>
      </c>
      <c r="AE356" s="324">
        <v>0</v>
      </c>
      <c r="AF356" s="324">
        <v>0</v>
      </c>
      <c r="AG356" s="324">
        <v>0</v>
      </c>
      <c r="AH356" s="324">
        <v>0</v>
      </c>
      <c r="AI356" s="312">
        <v>0</v>
      </c>
      <c r="AJ356" s="327">
        <v>0</v>
      </c>
      <c r="AK356" s="327">
        <v>0</v>
      </c>
      <c r="AL356" s="328"/>
      <c r="AM356" s="279">
        <v>0</v>
      </c>
      <c r="AN356" s="279">
        <v>0</v>
      </c>
      <c r="AO356" s="279">
        <v>0</v>
      </c>
      <c r="AP356" s="279">
        <v>0</v>
      </c>
      <c r="AQ356" s="279">
        <v>0</v>
      </c>
      <c r="AR356" s="279">
        <v>0</v>
      </c>
      <c r="AS356" s="293">
        <v>0</v>
      </c>
      <c r="AT356" s="327">
        <v>0</v>
      </c>
      <c r="AU356" s="327">
        <v>0</v>
      </c>
      <c r="AV356" s="328"/>
      <c r="AW356" s="279"/>
      <c r="AX356" s="279"/>
      <c r="AY356" s="279"/>
      <c r="AZ356" s="279"/>
      <c r="BA356" s="279"/>
      <c r="BB356" s="279"/>
      <c r="BC356" s="293"/>
      <c r="BD356" s="319"/>
      <c r="BE356" s="293"/>
      <c r="BF356" s="319"/>
      <c r="BG356" s="293"/>
      <c r="BH356" s="293"/>
      <c r="BI356" s="337">
        <v>100000</v>
      </c>
      <c r="BJ356" s="338">
        <v>0</v>
      </c>
      <c r="BK356" s="126"/>
    </row>
    <row r="357" spans="1:63" ht="15.75">
      <c r="A357" s="314">
        <v>500476</v>
      </c>
      <c r="B357" s="125" t="s">
        <v>1368</v>
      </c>
      <c r="C357" s="124" t="s">
        <v>110</v>
      </c>
      <c r="D357" s="126">
        <v>212636</v>
      </c>
      <c r="E357" s="148" t="s">
        <v>1369</v>
      </c>
      <c r="F357" s="148" t="s">
        <v>1370</v>
      </c>
      <c r="G357" s="127" t="s">
        <v>53</v>
      </c>
      <c r="H357" s="149" t="s">
        <v>597</v>
      </c>
      <c r="I357" s="126" t="s">
        <v>598</v>
      </c>
      <c r="J357" s="126" t="s">
        <v>730</v>
      </c>
      <c r="K357" s="128" t="s">
        <v>735</v>
      </c>
      <c r="L357" s="121" t="s">
        <v>637</v>
      </c>
      <c r="M357" s="123" t="s">
        <v>638</v>
      </c>
      <c r="N357" s="129">
        <v>43110</v>
      </c>
      <c r="O357" s="129">
        <v>42643</v>
      </c>
      <c r="P357" s="129">
        <v>42643</v>
      </c>
      <c r="Q357" s="330">
        <v>100000</v>
      </c>
      <c r="R357" s="324">
        <v>100000</v>
      </c>
      <c r="S357" s="324"/>
      <c r="T357" s="324">
        <v>0</v>
      </c>
      <c r="U357" s="324">
        <v>0</v>
      </c>
      <c r="V357" s="324"/>
      <c r="W357" s="324">
        <v>0</v>
      </c>
      <c r="X357" s="324">
        <v>0</v>
      </c>
      <c r="Y357" s="312">
        <v>100000</v>
      </c>
      <c r="Z357" s="325">
        <v>100000</v>
      </c>
      <c r="AA357" s="325">
        <v>0</v>
      </c>
      <c r="AB357" s="326"/>
      <c r="AC357" s="324" t="s">
        <v>602</v>
      </c>
      <c r="AD357" s="324" t="s">
        <v>602</v>
      </c>
      <c r="AE357" s="324" t="s">
        <v>602</v>
      </c>
      <c r="AF357" s="324" t="s">
        <v>602</v>
      </c>
      <c r="AG357" s="324" t="s">
        <v>602</v>
      </c>
      <c r="AH357" s="324"/>
      <c r="AI357" s="312">
        <v>0</v>
      </c>
      <c r="AJ357" s="327">
        <v>0</v>
      </c>
      <c r="AK357" s="327">
        <v>0</v>
      </c>
      <c r="AL357" s="328"/>
      <c r="AM357" s="324">
        <v>0</v>
      </c>
      <c r="AN357" s="324">
        <v>0</v>
      </c>
      <c r="AO357" s="324">
        <v>0</v>
      </c>
      <c r="AP357" s="324">
        <v>0</v>
      </c>
      <c r="AQ357" s="324">
        <v>0</v>
      </c>
      <c r="AR357" s="324">
        <v>0</v>
      </c>
      <c r="AS357" s="293">
        <v>0</v>
      </c>
      <c r="AT357" s="327">
        <v>0</v>
      </c>
      <c r="AU357" s="327">
        <v>0</v>
      </c>
      <c r="AV357" s="328"/>
      <c r="AW357" s="324" t="s">
        <v>602</v>
      </c>
      <c r="AX357" s="324" t="s">
        <v>602</v>
      </c>
      <c r="AY357" s="324" t="s">
        <v>602</v>
      </c>
      <c r="AZ357" s="324" t="s">
        <v>602</v>
      </c>
      <c r="BA357" s="324"/>
      <c r="BB357" s="324" t="s">
        <v>602</v>
      </c>
      <c r="BC357" s="293"/>
      <c r="BD357" s="319"/>
      <c r="BE357" s="293"/>
      <c r="BF357" s="319"/>
      <c r="BG357" s="293"/>
      <c r="BH357" s="293"/>
      <c r="BI357" s="337">
        <v>100000</v>
      </c>
      <c r="BJ357" s="338">
        <v>0</v>
      </c>
      <c r="BK357" s="280"/>
    </row>
    <row r="358" spans="1:63" ht="15.75">
      <c r="A358" s="314">
        <v>500689</v>
      </c>
      <c r="B358" s="125" t="s">
        <v>1368</v>
      </c>
      <c r="C358" s="124" t="s">
        <v>110</v>
      </c>
      <c r="D358" s="126">
        <v>212636</v>
      </c>
      <c r="E358" s="148" t="s">
        <v>1369</v>
      </c>
      <c r="F358" s="148" t="s">
        <v>1370</v>
      </c>
      <c r="G358" s="127" t="s">
        <v>53</v>
      </c>
      <c r="H358" s="149" t="s">
        <v>597</v>
      </c>
      <c r="I358" s="126" t="s">
        <v>598</v>
      </c>
      <c r="J358" s="126" t="s">
        <v>730</v>
      </c>
      <c r="K358" s="128" t="s">
        <v>735</v>
      </c>
      <c r="L358" s="121" t="s">
        <v>1034</v>
      </c>
      <c r="M358" s="123" t="s">
        <v>661</v>
      </c>
      <c r="N358" s="129">
        <v>42461</v>
      </c>
      <c r="O358" s="129">
        <v>43555</v>
      </c>
      <c r="P358" s="129">
        <v>43555</v>
      </c>
      <c r="Q358" s="330">
        <v>75000</v>
      </c>
      <c r="R358" s="331"/>
      <c r="S358" s="324">
        <v>25000</v>
      </c>
      <c r="T358" s="324">
        <v>0</v>
      </c>
      <c r="U358" s="324">
        <v>0</v>
      </c>
      <c r="V358" s="324"/>
      <c r="W358" s="324">
        <v>0</v>
      </c>
      <c r="X358" s="324">
        <v>0</v>
      </c>
      <c r="Y358" s="312">
        <v>25000</v>
      </c>
      <c r="Z358" s="325">
        <v>25000</v>
      </c>
      <c r="AA358" s="325">
        <v>0</v>
      </c>
      <c r="AB358" s="326"/>
      <c r="AC358" s="324">
        <v>25000</v>
      </c>
      <c r="AD358" s="324">
        <v>0</v>
      </c>
      <c r="AE358" s="324">
        <v>0</v>
      </c>
      <c r="AF358" s="324">
        <v>0</v>
      </c>
      <c r="AG358" s="324">
        <v>0</v>
      </c>
      <c r="AH358" s="324"/>
      <c r="AI358" s="312">
        <v>25000</v>
      </c>
      <c r="AJ358" s="327">
        <v>25000</v>
      </c>
      <c r="AK358" s="327">
        <v>0</v>
      </c>
      <c r="AL358" s="328"/>
      <c r="AM358" s="324">
        <v>25000</v>
      </c>
      <c r="AN358" s="324">
        <v>0</v>
      </c>
      <c r="AO358" s="324">
        <v>0</v>
      </c>
      <c r="AP358" s="324">
        <v>0</v>
      </c>
      <c r="AQ358" s="324">
        <v>0</v>
      </c>
      <c r="AR358" s="279">
        <v>0</v>
      </c>
      <c r="AS358" s="293">
        <v>25000</v>
      </c>
      <c r="AT358" s="327">
        <v>25000</v>
      </c>
      <c r="AU358" s="327">
        <v>0</v>
      </c>
      <c r="AV358" s="328"/>
      <c r="AW358" s="279" t="s">
        <v>602</v>
      </c>
      <c r="AX358" s="279" t="s">
        <v>602</v>
      </c>
      <c r="AY358" s="279" t="s">
        <v>602</v>
      </c>
      <c r="AZ358" s="279" t="s">
        <v>602</v>
      </c>
      <c r="BA358" s="279"/>
      <c r="BB358" s="279" t="s">
        <v>602</v>
      </c>
      <c r="BC358" s="293"/>
      <c r="BD358" s="319"/>
      <c r="BE358" s="293"/>
      <c r="BF358" s="319"/>
      <c r="BG358" s="293"/>
      <c r="BH358" s="293"/>
      <c r="BI358" s="337">
        <v>75000</v>
      </c>
      <c r="BJ358" s="338">
        <v>0</v>
      </c>
      <c r="BK358" s="280" t="s">
        <v>1035</v>
      </c>
    </row>
    <row r="359" spans="1:63" ht="15.75">
      <c r="A359" s="314">
        <v>501336</v>
      </c>
      <c r="B359" s="125" t="s">
        <v>1368</v>
      </c>
      <c r="C359" s="124" t="s">
        <v>110</v>
      </c>
      <c r="D359" s="126">
        <v>212636</v>
      </c>
      <c r="E359" s="148" t="s">
        <v>1369</v>
      </c>
      <c r="F359" s="148" t="s">
        <v>1370</v>
      </c>
      <c r="G359" s="127" t="s">
        <v>53</v>
      </c>
      <c r="H359" s="149" t="s">
        <v>597</v>
      </c>
      <c r="I359" s="126" t="s">
        <v>598</v>
      </c>
      <c r="J359" s="126" t="s">
        <v>730</v>
      </c>
      <c r="K359" s="128" t="s">
        <v>735</v>
      </c>
      <c r="L359" s="121" t="s">
        <v>515</v>
      </c>
      <c r="M359" s="123" t="s">
        <v>712</v>
      </c>
      <c r="N359" s="129">
        <v>42614</v>
      </c>
      <c r="O359" s="129">
        <v>43708</v>
      </c>
      <c r="P359" s="129">
        <v>44145</v>
      </c>
      <c r="Q359" s="330">
        <v>635381</v>
      </c>
      <c r="R359" s="331"/>
      <c r="S359" s="324">
        <v>75000</v>
      </c>
      <c r="T359" s="324">
        <v>0</v>
      </c>
      <c r="U359" s="324">
        <v>100000</v>
      </c>
      <c r="V359" s="324"/>
      <c r="W359" s="324">
        <v>36794</v>
      </c>
      <c r="X359" s="324">
        <v>0</v>
      </c>
      <c r="Y359" s="312">
        <v>211794</v>
      </c>
      <c r="Z359" s="325">
        <v>211794</v>
      </c>
      <c r="AA359" s="325">
        <v>0</v>
      </c>
      <c r="AB359" s="326"/>
      <c r="AC359" s="324">
        <v>75000</v>
      </c>
      <c r="AD359" s="324">
        <v>0</v>
      </c>
      <c r="AE359" s="324">
        <v>100000</v>
      </c>
      <c r="AF359" s="324">
        <v>36794</v>
      </c>
      <c r="AG359" s="324">
        <v>0</v>
      </c>
      <c r="AH359" s="324"/>
      <c r="AI359" s="312">
        <v>211794</v>
      </c>
      <c r="AJ359" s="327">
        <v>211794</v>
      </c>
      <c r="AK359" s="327">
        <v>0</v>
      </c>
      <c r="AL359" s="328"/>
      <c r="AM359" s="279">
        <v>75000</v>
      </c>
      <c r="AN359" s="279">
        <v>0</v>
      </c>
      <c r="AO359" s="279">
        <v>100000</v>
      </c>
      <c r="AP359" s="279"/>
      <c r="AQ359" s="279">
        <v>36793</v>
      </c>
      <c r="AR359" s="279">
        <v>0</v>
      </c>
      <c r="AS359" s="293">
        <v>211793</v>
      </c>
      <c r="AT359" s="327">
        <v>211793</v>
      </c>
      <c r="AU359" s="327">
        <v>0</v>
      </c>
      <c r="AV359" s="328"/>
      <c r="AW359" s="279"/>
      <c r="AX359" s="279"/>
      <c r="AY359" s="279"/>
      <c r="AZ359" s="279"/>
      <c r="BA359" s="279"/>
      <c r="BB359" s="279"/>
      <c r="BC359" s="293"/>
      <c r="BD359" s="319"/>
      <c r="BE359" s="293"/>
      <c r="BF359" s="319"/>
      <c r="BG359" s="293"/>
      <c r="BH359" s="293"/>
      <c r="BI359" s="337">
        <v>635381</v>
      </c>
      <c r="BJ359" s="338">
        <v>0</v>
      </c>
      <c r="BK359" s="280"/>
    </row>
    <row r="360" spans="1:63" ht="15.75">
      <c r="A360" s="314">
        <v>501340</v>
      </c>
      <c r="B360" s="125" t="s">
        <v>1368</v>
      </c>
      <c r="C360" s="124" t="s">
        <v>110</v>
      </c>
      <c r="D360" s="126">
        <v>212636</v>
      </c>
      <c r="E360" s="148" t="s">
        <v>1369</v>
      </c>
      <c r="F360" s="148" t="s">
        <v>1370</v>
      </c>
      <c r="G360" s="127" t="s">
        <v>53</v>
      </c>
      <c r="H360" s="149" t="s">
        <v>628</v>
      </c>
      <c r="I360" s="126" t="s">
        <v>598</v>
      </c>
      <c r="J360" s="126" t="s">
        <v>730</v>
      </c>
      <c r="K360" s="178" t="s">
        <v>735</v>
      </c>
      <c r="L360" s="121" t="s">
        <v>515</v>
      </c>
      <c r="M360" s="123" t="s">
        <v>698</v>
      </c>
      <c r="N360" s="129">
        <v>42614</v>
      </c>
      <c r="O360" s="129">
        <v>43708</v>
      </c>
      <c r="P360" s="129">
        <v>43708</v>
      </c>
      <c r="Q360" s="330">
        <v>348000</v>
      </c>
      <c r="R360" s="331"/>
      <c r="S360" s="324">
        <v>50000</v>
      </c>
      <c r="T360" s="324">
        <v>0</v>
      </c>
      <c r="U360" s="324">
        <v>50000</v>
      </c>
      <c r="V360" s="324"/>
      <c r="W360" s="324">
        <v>16000</v>
      </c>
      <c r="X360" s="324">
        <v>0</v>
      </c>
      <c r="Y360" s="312">
        <v>116000</v>
      </c>
      <c r="Z360" s="325">
        <v>116000</v>
      </c>
      <c r="AA360" s="325">
        <v>0</v>
      </c>
      <c r="AB360" s="326"/>
      <c r="AC360" s="324">
        <v>50000</v>
      </c>
      <c r="AD360" s="324">
        <v>0</v>
      </c>
      <c r="AE360" s="324">
        <v>50000</v>
      </c>
      <c r="AF360" s="324">
        <v>16000</v>
      </c>
      <c r="AG360" s="324">
        <v>0</v>
      </c>
      <c r="AH360" s="324"/>
      <c r="AI360" s="312">
        <v>116000</v>
      </c>
      <c r="AJ360" s="327">
        <v>116000</v>
      </c>
      <c r="AK360" s="327">
        <v>0</v>
      </c>
      <c r="AL360" s="328"/>
      <c r="AM360" s="279">
        <v>50000</v>
      </c>
      <c r="AN360" s="279">
        <v>0</v>
      </c>
      <c r="AO360" s="279">
        <v>50000</v>
      </c>
      <c r="AP360" s="279"/>
      <c r="AQ360" s="279">
        <v>16000</v>
      </c>
      <c r="AR360" s="279">
        <v>0</v>
      </c>
      <c r="AS360" s="293">
        <v>116000</v>
      </c>
      <c r="AT360" s="327">
        <v>116000</v>
      </c>
      <c r="AU360" s="327">
        <v>0</v>
      </c>
      <c r="AV360" s="328"/>
      <c r="AW360" s="279"/>
      <c r="AX360" s="279"/>
      <c r="AY360" s="279"/>
      <c r="AZ360" s="279"/>
      <c r="BA360" s="279"/>
      <c r="BB360" s="279"/>
      <c r="BC360" s="293"/>
      <c r="BD360" s="319"/>
      <c r="BE360" s="293"/>
      <c r="BF360" s="319"/>
      <c r="BG360" s="293"/>
      <c r="BH360" s="293"/>
      <c r="BI360" s="337">
        <v>348000</v>
      </c>
      <c r="BJ360" s="338">
        <v>0</v>
      </c>
      <c r="BK360" s="280"/>
    </row>
    <row r="361" spans="1:63" ht="15.75">
      <c r="A361" s="314">
        <v>501380</v>
      </c>
      <c r="B361" s="125" t="s">
        <v>1368</v>
      </c>
      <c r="C361" s="124" t="s">
        <v>110</v>
      </c>
      <c r="D361" s="126">
        <v>212636</v>
      </c>
      <c r="E361" s="148" t="s">
        <v>1369</v>
      </c>
      <c r="F361" s="148" t="s">
        <v>1370</v>
      </c>
      <c r="G361" s="127" t="s">
        <v>53</v>
      </c>
      <c r="H361" s="149" t="s">
        <v>628</v>
      </c>
      <c r="I361" s="126" t="s">
        <v>598</v>
      </c>
      <c r="J361" s="126" t="s">
        <v>730</v>
      </c>
      <c r="K361" s="128" t="s">
        <v>735</v>
      </c>
      <c r="L361" s="121" t="s">
        <v>515</v>
      </c>
      <c r="M361" s="123" t="s">
        <v>982</v>
      </c>
      <c r="N361" s="129">
        <v>42614</v>
      </c>
      <c r="O361" s="129">
        <v>44104</v>
      </c>
      <c r="P361" s="129">
        <v>44149</v>
      </c>
      <c r="Q361" s="330">
        <v>75000</v>
      </c>
      <c r="R361" s="331"/>
      <c r="S361" s="324">
        <v>0</v>
      </c>
      <c r="T361" s="324">
        <v>0</v>
      </c>
      <c r="U361" s="324">
        <v>25000</v>
      </c>
      <c r="V361" s="324"/>
      <c r="W361" s="324">
        <v>0</v>
      </c>
      <c r="X361" s="324">
        <v>0</v>
      </c>
      <c r="Y361" s="312">
        <v>25000</v>
      </c>
      <c r="Z361" s="325">
        <v>25000</v>
      </c>
      <c r="AA361" s="325">
        <v>0</v>
      </c>
      <c r="AB361" s="326"/>
      <c r="AC361" s="324">
        <v>0</v>
      </c>
      <c r="AD361" s="324">
        <v>0</v>
      </c>
      <c r="AE361" s="324">
        <v>25000</v>
      </c>
      <c r="AF361" s="324">
        <v>0</v>
      </c>
      <c r="AG361" s="324">
        <v>0</v>
      </c>
      <c r="AH361" s="324"/>
      <c r="AI361" s="312">
        <v>25000</v>
      </c>
      <c r="AJ361" s="327">
        <v>25000</v>
      </c>
      <c r="AK361" s="327">
        <v>0</v>
      </c>
      <c r="AL361" s="328"/>
      <c r="AM361" s="279">
        <v>0</v>
      </c>
      <c r="AN361" s="279">
        <v>0</v>
      </c>
      <c r="AO361" s="279">
        <v>25000</v>
      </c>
      <c r="AP361" s="279"/>
      <c r="AQ361" s="279">
        <v>0</v>
      </c>
      <c r="AR361" s="279">
        <v>0</v>
      </c>
      <c r="AS361" s="293">
        <v>25000</v>
      </c>
      <c r="AT361" s="327">
        <v>25000</v>
      </c>
      <c r="AU361" s="327">
        <v>0</v>
      </c>
      <c r="AV361" s="328"/>
      <c r="AW361" s="279"/>
      <c r="AX361" s="279"/>
      <c r="AY361" s="279"/>
      <c r="AZ361" s="279"/>
      <c r="BA361" s="279"/>
      <c r="BB361" s="279"/>
      <c r="BC361" s="293"/>
      <c r="BD361" s="319"/>
      <c r="BE361" s="293"/>
      <c r="BF361" s="319"/>
      <c r="BG361" s="293"/>
      <c r="BH361" s="293"/>
      <c r="BI361" s="337">
        <v>75000</v>
      </c>
      <c r="BJ361" s="338">
        <v>0</v>
      </c>
      <c r="BK361" s="280"/>
    </row>
    <row r="362" spans="1:63" ht="15.75">
      <c r="A362" s="314">
        <v>507637</v>
      </c>
      <c r="B362" s="124" t="s">
        <v>1368</v>
      </c>
      <c r="C362" s="124" t="s">
        <v>110</v>
      </c>
      <c r="D362" s="126">
        <v>212636</v>
      </c>
      <c r="E362" s="124" t="s">
        <v>1369</v>
      </c>
      <c r="F362" s="124" t="s">
        <v>1370</v>
      </c>
      <c r="G362" s="127" t="s">
        <v>53</v>
      </c>
      <c r="H362" s="126" t="s">
        <v>628</v>
      </c>
      <c r="I362" s="126" t="s">
        <v>598</v>
      </c>
      <c r="J362" s="126" t="s">
        <v>730</v>
      </c>
      <c r="K362" s="128" t="s">
        <v>735</v>
      </c>
      <c r="L362" s="121" t="s">
        <v>519</v>
      </c>
      <c r="M362" s="123" t="s">
        <v>736</v>
      </c>
      <c r="N362" s="129">
        <v>43709</v>
      </c>
      <c r="O362" s="129">
        <v>44895</v>
      </c>
      <c r="P362" s="129">
        <v>44895</v>
      </c>
      <c r="Q362" s="323">
        <v>191250</v>
      </c>
      <c r="R362" s="319"/>
      <c r="S362" s="324">
        <v>29000</v>
      </c>
      <c r="T362" s="324"/>
      <c r="U362" s="324">
        <v>34750</v>
      </c>
      <c r="V362" s="324"/>
      <c r="W362" s="324"/>
      <c r="X362" s="324"/>
      <c r="Y362" s="312">
        <v>63750</v>
      </c>
      <c r="Z362" s="325">
        <v>63750</v>
      </c>
      <c r="AA362" s="325">
        <v>0</v>
      </c>
      <c r="AB362" s="326"/>
      <c r="AC362" s="324">
        <v>29000</v>
      </c>
      <c r="AD362" s="324"/>
      <c r="AE362" s="324">
        <v>34750</v>
      </c>
      <c r="AF362" s="324"/>
      <c r="AG362" s="324"/>
      <c r="AH362" s="324"/>
      <c r="AI362" s="312">
        <v>63750</v>
      </c>
      <c r="AJ362" s="327">
        <v>63750</v>
      </c>
      <c r="AK362" s="327">
        <v>0</v>
      </c>
      <c r="AL362" s="328"/>
      <c r="AM362" s="324">
        <v>29000</v>
      </c>
      <c r="AN362" s="324"/>
      <c r="AO362" s="324">
        <v>34750</v>
      </c>
      <c r="AP362" s="279"/>
      <c r="AQ362" s="279"/>
      <c r="AR362" s="279"/>
      <c r="AS362" s="293">
        <v>63750</v>
      </c>
      <c r="AT362" s="327">
        <v>63750</v>
      </c>
      <c r="AU362" s="327">
        <v>0</v>
      </c>
      <c r="AV362" s="328"/>
      <c r="AW362" s="279"/>
      <c r="AX362" s="279"/>
      <c r="AY362" s="279"/>
      <c r="AZ362" s="279"/>
      <c r="BA362" s="279"/>
      <c r="BB362" s="279"/>
      <c r="BC362" s="293"/>
      <c r="BD362" s="319"/>
      <c r="BE362" s="293"/>
      <c r="BF362" s="319"/>
      <c r="BG362" s="293"/>
      <c r="BH362" s="293"/>
      <c r="BI362" s="337">
        <v>191250</v>
      </c>
      <c r="BJ362" s="338">
        <v>0</v>
      </c>
      <c r="BK362" s="126"/>
    </row>
    <row r="363" spans="1:63" ht="15.75">
      <c r="A363" s="314">
        <v>507693</v>
      </c>
      <c r="B363" s="124" t="s">
        <v>1368</v>
      </c>
      <c r="C363" s="124" t="s">
        <v>110</v>
      </c>
      <c r="D363" s="126">
        <v>212636</v>
      </c>
      <c r="E363" s="124" t="s">
        <v>1369</v>
      </c>
      <c r="F363" s="124" t="s">
        <v>1370</v>
      </c>
      <c r="G363" s="127" t="s">
        <v>53</v>
      </c>
      <c r="H363" s="126" t="s">
        <v>597</v>
      </c>
      <c r="I363" s="126" t="s">
        <v>598</v>
      </c>
      <c r="J363" s="126" t="s">
        <v>730</v>
      </c>
      <c r="K363" s="128" t="s">
        <v>735</v>
      </c>
      <c r="L363" s="121" t="s">
        <v>519</v>
      </c>
      <c r="M363" s="123" t="s">
        <v>717</v>
      </c>
      <c r="N363" s="129">
        <v>43709</v>
      </c>
      <c r="O363" s="129">
        <v>44895</v>
      </c>
      <c r="P363" s="129">
        <v>44895</v>
      </c>
      <c r="Q363" s="323">
        <v>325110</v>
      </c>
      <c r="R363" s="319"/>
      <c r="S363" s="324">
        <v>60000</v>
      </c>
      <c r="T363" s="324"/>
      <c r="U363" s="324">
        <v>25000</v>
      </c>
      <c r="V363" s="324">
        <v>3000</v>
      </c>
      <c r="W363" s="324">
        <v>15000</v>
      </c>
      <c r="X363" s="324">
        <v>5370</v>
      </c>
      <c r="Y363" s="312">
        <v>108370</v>
      </c>
      <c r="Z363" s="325">
        <v>108370</v>
      </c>
      <c r="AA363" s="325">
        <v>0</v>
      </c>
      <c r="AB363" s="326"/>
      <c r="AC363" s="324">
        <v>60000</v>
      </c>
      <c r="AD363" s="324"/>
      <c r="AE363" s="324">
        <v>25000</v>
      </c>
      <c r="AF363" s="324">
        <v>3000</v>
      </c>
      <c r="AG363" s="324">
        <v>15000</v>
      </c>
      <c r="AH363" s="324">
        <v>5370</v>
      </c>
      <c r="AI363" s="312">
        <v>108370</v>
      </c>
      <c r="AJ363" s="327">
        <v>108370</v>
      </c>
      <c r="AK363" s="327">
        <v>0</v>
      </c>
      <c r="AL363" s="328"/>
      <c r="AM363" s="324">
        <v>60000</v>
      </c>
      <c r="AN363" s="324"/>
      <c r="AO363" s="324">
        <v>25000</v>
      </c>
      <c r="AP363" s="324">
        <v>3000</v>
      </c>
      <c r="AQ363" s="324">
        <v>15000</v>
      </c>
      <c r="AR363" s="324">
        <v>5370</v>
      </c>
      <c r="AS363" s="293">
        <v>108370</v>
      </c>
      <c r="AT363" s="327">
        <v>108370</v>
      </c>
      <c r="AU363" s="327">
        <v>0</v>
      </c>
      <c r="AV363" s="328"/>
      <c r="AW363" s="279"/>
      <c r="AX363" s="279"/>
      <c r="AY363" s="279"/>
      <c r="AZ363" s="279"/>
      <c r="BA363" s="279"/>
      <c r="BB363" s="279"/>
      <c r="BC363" s="293"/>
      <c r="BD363" s="319"/>
      <c r="BE363" s="293"/>
      <c r="BF363" s="319"/>
      <c r="BG363" s="293"/>
      <c r="BH363" s="293"/>
      <c r="BI363" s="337">
        <v>325110</v>
      </c>
      <c r="BJ363" s="338">
        <v>0</v>
      </c>
      <c r="BK363" s="126"/>
    </row>
    <row r="364" spans="1:63" ht="15.75">
      <c r="A364" s="314">
        <v>512731</v>
      </c>
      <c r="B364" s="124" t="s">
        <v>1368</v>
      </c>
      <c r="C364" s="124" t="s">
        <v>110</v>
      </c>
      <c r="D364" s="126">
        <v>212636</v>
      </c>
      <c r="E364" s="124" t="s">
        <v>1369</v>
      </c>
      <c r="F364" s="124" t="s">
        <v>1370</v>
      </c>
      <c r="G364" s="127" t="s">
        <v>53</v>
      </c>
      <c r="H364" s="126" t="s">
        <v>628</v>
      </c>
      <c r="I364" s="126" t="s">
        <v>598</v>
      </c>
      <c r="J364" s="126" t="s">
        <v>730</v>
      </c>
      <c r="K364" s="128" t="s">
        <v>735</v>
      </c>
      <c r="L364" s="121" t="s">
        <v>685</v>
      </c>
      <c r="M364" s="123" t="s">
        <v>1175</v>
      </c>
      <c r="N364" s="129">
        <v>44409</v>
      </c>
      <c r="O364" s="129">
        <v>44957</v>
      </c>
      <c r="P364" s="129">
        <v>44957</v>
      </c>
      <c r="Q364" s="323">
        <v>7500</v>
      </c>
      <c r="R364" s="319"/>
      <c r="S364" s="324"/>
      <c r="T364" s="324"/>
      <c r="U364" s="324">
        <v>7500</v>
      </c>
      <c r="V364" s="324"/>
      <c r="W364" s="324"/>
      <c r="X364" s="324"/>
      <c r="Y364" s="312">
        <v>7500</v>
      </c>
      <c r="Z364" s="325">
        <v>7500</v>
      </c>
      <c r="AA364" s="325">
        <v>0</v>
      </c>
      <c r="AB364" s="326"/>
      <c r="AC364" s="324"/>
      <c r="AD364" s="324"/>
      <c r="AE364" s="324">
        <v>2500</v>
      </c>
      <c r="AF364" s="324"/>
      <c r="AG364" s="324"/>
      <c r="AH364" s="324"/>
      <c r="AI364" s="312">
        <v>2500</v>
      </c>
      <c r="AJ364" s="327">
        <v>2500</v>
      </c>
      <c r="AK364" s="327">
        <v>0</v>
      </c>
      <c r="AL364" s="328"/>
      <c r="AM364" s="324"/>
      <c r="AN364" s="324"/>
      <c r="AO364" s="324"/>
      <c r="AP364" s="279"/>
      <c r="AQ364" s="279"/>
      <c r="AR364" s="279"/>
      <c r="AS364" s="293"/>
      <c r="AT364" s="327"/>
      <c r="AU364" s="327"/>
      <c r="AV364" s="328"/>
      <c r="AW364" s="279"/>
      <c r="AX364" s="279"/>
      <c r="AY364" s="279"/>
      <c r="AZ364" s="279"/>
      <c r="BA364" s="279"/>
      <c r="BB364" s="279"/>
      <c r="BC364" s="293"/>
      <c r="BD364" s="319"/>
      <c r="BE364" s="293"/>
      <c r="BF364" s="319"/>
      <c r="BG364" s="293"/>
      <c r="BH364" s="293"/>
      <c r="BI364" s="337">
        <v>10000</v>
      </c>
      <c r="BJ364" s="338">
        <v>2500</v>
      </c>
      <c r="BK364" s="126"/>
    </row>
    <row r="365" spans="1:63" ht="15.75">
      <c r="A365" s="314">
        <v>502687</v>
      </c>
      <c r="B365" s="125" t="s">
        <v>823</v>
      </c>
      <c r="C365" s="124" t="s">
        <v>824</v>
      </c>
      <c r="D365" s="126">
        <v>212639</v>
      </c>
      <c r="E365" s="124" t="s">
        <v>825</v>
      </c>
      <c r="F365" s="124" t="s">
        <v>826</v>
      </c>
      <c r="G365" s="127" t="s">
        <v>46</v>
      </c>
      <c r="H365" s="126" t="s">
        <v>597</v>
      </c>
      <c r="I365" s="126" t="s">
        <v>609</v>
      </c>
      <c r="J365" s="126" t="s">
        <v>610</v>
      </c>
      <c r="K365" s="149" t="s">
        <v>611</v>
      </c>
      <c r="L365" s="121" t="s">
        <v>19</v>
      </c>
      <c r="M365" s="123" t="s">
        <v>1084</v>
      </c>
      <c r="N365" s="129">
        <v>42826</v>
      </c>
      <c r="O365" s="129">
        <v>43830</v>
      </c>
      <c r="P365" s="129">
        <v>44106</v>
      </c>
      <c r="Q365" s="323">
        <v>175084</v>
      </c>
      <c r="R365" s="319"/>
      <c r="S365" s="324">
        <v>27492</v>
      </c>
      <c r="T365" s="324">
        <v>23600</v>
      </c>
      <c r="U365" s="324">
        <v>36000</v>
      </c>
      <c r="V365" s="324">
        <v>0</v>
      </c>
      <c r="W365" s="324">
        <v>12800</v>
      </c>
      <c r="X365" s="324">
        <v>0</v>
      </c>
      <c r="Y365" s="312">
        <v>99892</v>
      </c>
      <c r="Z365" s="325">
        <v>99892</v>
      </c>
      <c r="AA365" s="325">
        <v>0</v>
      </c>
      <c r="AB365" s="326"/>
      <c r="AC365" s="324">
        <v>72992</v>
      </c>
      <c r="AD365" s="324">
        <v>0</v>
      </c>
      <c r="AE365" s="324">
        <v>0</v>
      </c>
      <c r="AF365" s="324"/>
      <c r="AG365" s="324">
        <v>2200</v>
      </c>
      <c r="AH365" s="324"/>
      <c r="AI365" s="312">
        <v>75192</v>
      </c>
      <c r="AJ365" s="327">
        <v>75192</v>
      </c>
      <c r="AK365" s="327">
        <v>0</v>
      </c>
      <c r="AL365" s="339"/>
      <c r="AM365" s="324" t="s">
        <v>602</v>
      </c>
      <c r="AN365" s="324" t="s">
        <v>602</v>
      </c>
      <c r="AO365" s="324" t="s">
        <v>602</v>
      </c>
      <c r="AP365" s="324" t="s">
        <v>602</v>
      </c>
      <c r="AQ365" s="324" t="s">
        <v>602</v>
      </c>
      <c r="AR365" s="279" t="s">
        <v>602</v>
      </c>
      <c r="AS365" s="293">
        <v>0</v>
      </c>
      <c r="AT365" s="327">
        <v>0</v>
      </c>
      <c r="AU365" s="327">
        <v>0</v>
      </c>
      <c r="AV365" s="328"/>
      <c r="AW365" s="279"/>
      <c r="AX365" s="279"/>
      <c r="AY365" s="279"/>
      <c r="AZ365" s="279"/>
      <c r="BA365" s="279"/>
      <c r="BB365" s="279"/>
      <c r="BC365" s="293"/>
      <c r="BD365" s="319"/>
      <c r="BE365" s="293"/>
      <c r="BF365" s="319"/>
      <c r="BG365" s="293"/>
      <c r="BH365" s="293"/>
      <c r="BI365" s="337">
        <v>175084</v>
      </c>
      <c r="BJ365" s="338">
        <v>0</v>
      </c>
      <c r="BK365" s="124" t="s">
        <v>1371</v>
      </c>
    </row>
    <row r="366" spans="1:63" ht="15.75">
      <c r="A366" s="314">
        <v>504320</v>
      </c>
      <c r="B366" s="125" t="s">
        <v>823</v>
      </c>
      <c r="C366" s="124" t="s">
        <v>824</v>
      </c>
      <c r="D366" s="126">
        <v>212639</v>
      </c>
      <c r="E366" s="124" t="s">
        <v>825</v>
      </c>
      <c r="F366" s="124" t="s">
        <v>826</v>
      </c>
      <c r="G366" s="127" t="s">
        <v>46</v>
      </c>
      <c r="H366" s="126" t="s">
        <v>597</v>
      </c>
      <c r="I366" s="126" t="s">
        <v>609</v>
      </c>
      <c r="J366" s="316" t="s">
        <v>818</v>
      </c>
      <c r="K366" s="194" t="s">
        <v>866</v>
      </c>
      <c r="L366" s="121" t="s">
        <v>517</v>
      </c>
      <c r="M366" s="123" t="s">
        <v>1372</v>
      </c>
      <c r="N366" s="129">
        <v>43221</v>
      </c>
      <c r="O366" s="129">
        <v>44286</v>
      </c>
      <c r="P366" s="129">
        <v>44286</v>
      </c>
      <c r="Q366" s="323">
        <v>145833</v>
      </c>
      <c r="R366" s="319"/>
      <c r="S366" s="324">
        <v>45833</v>
      </c>
      <c r="T366" s="324">
        <v>0</v>
      </c>
      <c r="U366" s="324">
        <v>0</v>
      </c>
      <c r="V366" s="324"/>
      <c r="W366" s="324">
        <v>0</v>
      </c>
      <c r="X366" s="324">
        <v>0</v>
      </c>
      <c r="Y366" s="312">
        <v>45833</v>
      </c>
      <c r="Z366" s="325">
        <v>45833</v>
      </c>
      <c r="AA366" s="325">
        <v>0</v>
      </c>
      <c r="AB366" s="326"/>
      <c r="AC366" s="324">
        <v>50000</v>
      </c>
      <c r="AD366" s="324">
        <v>0</v>
      </c>
      <c r="AE366" s="324">
        <v>0</v>
      </c>
      <c r="AF366" s="324">
        <v>0</v>
      </c>
      <c r="AG366" s="324">
        <v>0</v>
      </c>
      <c r="AH366" s="324"/>
      <c r="AI366" s="312">
        <v>50000</v>
      </c>
      <c r="AJ366" s="327">
        <v>50000</v>
      </c>
      <c r="AK366" s="327">
        <v>0</v>
      </c>
      <c r="AL366" s="328"/>
      <c r="AM366" s="324">
        <v>50000</v>
      </c>
      <c r="AN366" s="324">
        <v>0</v>
      </c>
      <c r="AO366" s="324">
        <v>0</v>
      </c>
      <c r="AP366" s="324">
        <v>0</v>
      </c>
      <c r="AQ366" s="324">
        <v>0</v>
      </c>
      <c r="AR366" s="279">
        <v>0</v>
      </c>
      <c r="AS366" s="293">
        <v>50000</v>
      </c>
      <c r="AT366" s="327">
        <v>50000</v>
      </c>
      <c r="AU366" s="327">
        <v>0</v>
      </c>
      <c r="AV366" s="328"/>
      <c r="AW366" s="279"/>
      <c r="AX366" s="279"/>
      <c r="AY366" s="279"/>
      <c r="AZ366" s="279"/>
      <c r="BA366" s="279"/>
      <c r="BB366" s="279"/>
      <c r="BC366" s="293"/>
      <c r="BD366" s="319"/>
      <c r="BE366" s="293"/>
      <c r="BF366" s="319"/>
      <c r="BG366" s="293"/>
      <c r="BH366" s="293"/>
      <c r="BI366" s="337">
        <v>145833</v>
      </c>
      <c r="BJ366" s="338">
        <v>0</v>
      </c>
      <c r="BK366" s="126" t="s">
        <v>1373</v>
      </c>
    </row>
    <row r="367" spans="1:63" ht="15.75">
      <c r="A367" s="314">
        <v>500024</v>
      </c>
      <c r="B367" s="125" t="s">
        <v>1374</v>
      </c>
      <c r="C367" s="124" t="s">
        <v>1375</v>
      </c>
      <c r="D367" s="126">
        <v>212689</v>
      </c>
      <c r="E367" s="149" t="s">
        <v>1376</v>
      </c>
      <c r="F367" s="149" t="s">
        <v>1377</v>
      </c>
      <c r="G367" s="127" t="s">
        <v>46</v>
      </c>
      <c r="H367" s="149" t="s">
        <v>597</v>
      </c>
      <c r="I367" s="126" t="s">
        <v>598</v>
      </c>
      <c r="J367" s="126" t="s">
        <v>696</v>
      </c>
      <c r="K367" s="128" t="s">
        <v>697</v>
      </c>
      <c r="L367" s="121" t="s">
        <v>637</v>
      </c>
      <c r="M367" s="123" t="s">
        <v>638</v>
      </c>
      <c r="N367" s="129">
        <v>42248</v>
      </c>
      <c r="O367" s="129">
        <v>42643</v>
      </c>
      <c r="P367" s="129">
        <v>42674</v>
      </c>
      <c r="Q367" s="330">
        <v>118835</v>
      </c>
      <c r="R367" s="324">
        <v>118835</v>
      </c>
      <c r="S367" s="324"/>
      <c r="T367" s="324">
        <v>0</v>
      </c>
      <c r="U367" s="324">
        <v>0</v>
      </c>
      <c r="V367" s="324"/>
      <c r="W367" s="324">
        <v>0</v>
      </c>
      <c r="X367" s="324">
        <v>0</v>
      </c>
      <c r="Y367" s="312">
        <v>118835</v>
      </c>
      <c r="Z367" s="325">
        <v>118835</v>
      </c>
      <c r="AA367" s="325">
        <v>0</v>
      </c>
      <c r="AB367" s="326"/>
      <c r="AC367" s="324" t="s">
        <v>602</v>
      </c>
      <c r="AD367" s="324" t="s">
        <v>602</v>
      </c>
      <c r="AE367" s="324" t="s">
        <v>602</v>
      </c>
      <c r="AF367" s="324" t="s">
        <v>602</v>
      </c>
      <c r="AG367" s="324" t="s">
        <v>602</v>
      </c>
      <c r="AH367" s="324"/>
      <c r="AI367" s="312">
        <v>0</v>
      </c>
      <c r="AJ367" s="327">
        <v>0</v>
      </c>
      <c r="AK367" s="327">
        <v>0</v>
      </c>
      <c r="AL367" s="328"/>
      <c r="AM367" s="324">
        <v>0</v>
      </c>
      <c r="AN367" s="324">
        <v>0</v>
      </c>
      <c r="AO367" s="324">
        <v>0</v>
      </c>
      <c r="AP367" s="324">
        <v>0</v>
      </c>
      <c r="AQ367" s="324">
        <v>0</v>
      </c>
      <c r="AR367" s="324">
        <v>0</v>
      </c>
      <c r="AS367" s="293">
        <v>0</v>
      </c>
      <c r="AT367" s="327">
        <v>0</v>
      </c>
      <c r="AU367" s="327">
        <v>0</v>
      </c>
      <c r="AV367" s="328"/>
      <c r="AW367" s="324" t="s">
        <v>602</v>
      </c>
      <c r="AX367" s="324" t="s">
        <v>602</v>
      </c>
      <c r="AY367" s="324" t="s">
        <v>602</v>
      </c>
      <c r="AZ367" s="324" t="s">
        <v>602</v>
      </c>
      <c r="BA367" s="324"/>
      <c r="BB367" s="324" t="s">
        <v>602</v>
      </c>
      <c r="BC367" s="293"/>
      <c r="BD367" s="319"/>
      <c r="BE367" s="293"/>
      <c r="BF367" s="319"/>
      <c r="BG367" s="293"/>
      <c r="BH367" s="293"/>
      <c r="BI367" s="337">
        <v>118835</v>
      </c>
      <c r="BJ367" s="338">
        <v>0</v>
      </c>
      <c r="BK367" s="280"/>
    </row>
    <row r="368" spans="1:63" ht="15.75">
      <c r="A368" s="314">
        <v>502315</v>
      </c>
      <c r="B368" s="125" t="s">
        <v>1378</v>
      </c>
      <c r="C368" s="124" t="s">
        <v>1379</v>
      </c>
      <c r="D368" s="126">
        <v>212696</v>
      </c>
      <c r="E368" s="124" t="s">
        <v>1380</v>
      </c>
      <c r="F368" s="124" t="s">
        <v>1381</v>
      </c>
      <c r="G368" s="127" t="s">
        <v>68</v>
      </c>
      <c r="H368" s="126" t="s">
        <v>597</v>
      </c>
      <c r="I368" s="126" t="s">
        <v>598</v>
      </c>
      <c r="J368" s="126" t="s">
        <v>888</v>
      </c>
      <c r="K368" s="128" t="s">
        <v>731</v>
      </c>
      <c r="L368" s="121" t="s">
        <v>652</v>
      </c>
      <c r="M368" s="123" t="s">
        <v>813</v>
      </c>
      <c r="N368" s="129">
        <v>42826</v>
      </c>
      <c r="O368" s="129">
        <v>43281</v>
      </c>
      <c r="P368" s="129">
        <v>43312</v>
      </c>
      <c r="Q368" s="323">
        <v>46000</v>
      </c>
      <c r="R368" s="319"/>
      <c r="S368" s="324">
        <v>26490</v>
      </c>
      <c r="T368" s="324">
        <v>0</v>
      </c>
      <c r="U368" s="324">
        <v>19510</v>
      </c>
      <c r="V368" s="324"/>
      <c r="W368" s="324">
        <v>0</v>
      </c>
      <c r="X368" s="324">
        <v>0</v>
      </c>
      <c r="Y368" s="312">
        <v>46000</v>
      </c>
      <c r="Z368" s="325">
        <v>46000</v>
      </c>
      <c r="AA368" s="325">
        <v>0</v>
      </c>
      <c r="AB368" s="326"/>
      <c r="AC368" s="324" t="s">
        <v>602</v>
      </c>
      <c r="AD368" s="324" t="s">
        <v>602</v>
      </c>
      <c r="AE368" s="324" t="s">
        <v>602</v>
      </c>
      <c r="AF368" s="324" t="s">
        <v>602</v>
      </c>
      <c r="AG368" s="324" t="s">
        <v>602</v>
      </c>
      <c r="AH368" s="324"/>
      <c r="AI368" s="312">
        <v>0</v>
      </c>
      <c r="AJ368" s="327">
        <v>0</v>
      </c>
      <c r="AK368" s="327">
        <v>0</v>
      </c>
      <c r="AL368" s="328"/>
      <c r="AM368" s="324">
        <v>0</v>
      </c>
      <c r="AN368" s="324">
        <v>0</v>
      </c>
      <c r="AO368" s="324">
        <v>0</v>
      </c>
      <c r="AP368" s="324">
        <v>0</v>
      </c>
      <c r="AQ368" s="324">
        <v>0</v>
      </c>
      <c r="AR368" s="324">
        <v>0</v>
      </c>
      <c r="AS368" s="293">
        <v>0</v>
      </c>
      <c r="AT368" s="327">
        <v>0</v>
      </c>
      <c r="AU368" s="327">
        <v>0</v>
      </c>
      <c r="AV368" s="328"/>
      <c r="AW368" s="279"/>
      <c r="AX368" s="279"/>
      <c r="AY368" s="279"/>
      <c r="AZ368" s="279"/>
      <c r="BA368" s="279"/>
      <c r="BB368" s="279"/>
      <c r="BC368" s="293"/>
      <c r="BD368" s="319"/>
      <c r="BE368" s="293"/>
      <c r="BF368" s="319"/>
      <c r="BG368" s="293"/>
      <c r="BH368" s="293"/>
      <c r="BI368" s="337">
        <v>46000</v>
      </c>
      <c r="BJ368" s="338">
        <v>0</v>
      </c>
      <c r="BK368" s="124" t="s">
        <v>814</v>
      </c>
    </row>
    <row r="369" spans="1:65" ht="15.75">
      <c r="A369" s="314">
        <v>501335</v>
      </c>
      <c r="B369" s="125" t="s">
        <v>1382</v>
      </c>
      <c r="C369" s="124" t="s">
        <v>279</v>
      </c>
      <c r="D369" s="126">
        <v>212714</v>
      </c>
      <c r="E369" s="121" t="s">
        <v>1383</v>
      </c>
      <c r="F369" s="121" t="s">
        <v>881</v>
      </c>
      <c r="G369" s="127" t="s">
        <v>53</v>
      </c>
      <c r="H369" s="123" t="s">
        <v>597</v>
      </c>
      <c r="I369" s="126" t="s">
        <v>598</v>
      </c>
      <c r="J369" s="126" t="s">
        <v>645</v>
      </c>
      <c r="K369" s="128" t="s">
        <v>666</v>
      </c>
      <c r="L369" s="121" t="s">
        <v>515</v>
      </c>
      <c r="M369" s="123" t="s">
        <v>994</v>
      </c>
      <c r="N369" s="129">
        <v>42614</v>
      </c>
      <c r="O369" s="129">
        <v>43708</v>
      </c>
      <c r="P369" s="129">
        <v>43798</v>
      </c>
      <c r="Q369" s="330">
        <v>60000</v>
      </c>
      <c r="R369" s="331"/>
      <c r="S369" s="324">
        <v>5000</v>
      </c>
      <c r="T369" s="324">
        <v>0</v>
      </c>
      <c r="U369" s="324">
        <v>15000</v>
      </c>
      <c r="V369" s="324"/>
      <c r="W369" s="324">
        <v>0</v>
      </c>
      <c r="X369" s="324">
        <v>0</v>
      </c>
      <c r="Y369" s="312">
        <v>20000</v>
      </c>
      <c r="Z369" s="325">
        <v>20000</v>
      </c>
      <c r="AA369" s="325">
        <v>0</v>
      </c>
      <c r="AB369" s="326"/>
      <c r="AC369" s="324">
        <v>5000</v>
      </c>
      <c r="AD369" s="324">
        <v>0</v>
      </c>
      <c r="AE369" s="324">
        <v>15000</v>
      </c>
      <c r="AF369" s="324">
        <v>0</v>
      </c>
      <c r="AG369" s="324">
        <v>0</v>
      </c>
      <c r="AH369" s="324"/>
      <c r="AI369" s="312">
        <v>20000</v>
      </c>
      <c r="AJ369" s="327">
        <v>20000</v>
      </c>
      <c r="AK369" s="327">
        <v>0</v>
      </c>
      <c r="AL369" s="328"/>
      <c r="AM369" s="324">
        <v>5000</v>
      </c>
      <c r="AN369" s="324">
        <v>0</v>
      </c>
      <c r="AO369" s="324">
        <v>15000</v>
      </c>
      <c r="AP369" s="324">
        <v>0</v>
      </c>
      <c r="AQ369" s="324">
        <v>0</v>
      </c>
      <c r="AR369" s="324">
        <v>0</v>
      </c>
      <c r="AS369" s="293">
        <v>20000</v>
      </c>
      <c r="AT369" s="327">
        <v>20000</v>
      </c>
      <c r="AU369" s="327">
        <v>0</v>
      </c>
      <c r="AV369" s="328"/>
      <c r="AW369" s="279"/>
      <c r="AX369" s="279"/>
      <c r="AY369" s="279"/>
      <c r="AZ369" s="279"/>
      <c r="BA369" s="279"/>
      <c r="BB369" s="279"/>
      <c r="BC369" s="293"/>
      <c r="BD369" s="319"/>
      <c r="BE369" s="293"/>
      <c r="BF369" s="319"/>
      <c r="BG369" s="293"/>
      <c r="BH369" s="293"/>
      <c r="BI369" s="337">
        <v>60000</v>
      </c>
      <c r="BJ369" s="338">
        <v>0</v>
      </c>
      <c r="BK369" s="280"/>
    </row>
    <row r="370" spans="1:65" ht="15.75">
      <c r="A370" s="314">
        <v>507642</v>
      </c>
      <c r="B370" s="125" t="s">
        <v>1382</v>
      </c>
      <c r="C370" s="124" t="s">
        <v>279</v>
      </c>
      <c r="D370" s="126">
        <v>212714</v>
      </c>
      <c r="E370" s="124" t="s">
        <v>1383</v>
      </c>
      <c r="F370" s="124" t="s">
        <v>881</v>
      </c>
      <c r="G370" s="127" t="s">
        <v>53</v>
      </c>
      <c r="H370" s="126" t="s">
        <v>628</v>
      </c>
      <c r="I370" s="126" t="s">
        <v>598</v>
      </c>
      <c r="J370" s="126" t="s">
        <v>645</v>
      </c>
      <c r="K370" s="128" t="s">
        <v>666</v>
      </c>
      <c r="L370" s="121" t="s">
        <v>519</v>
      </c>
      <c r="M370" s="123" t="s">
        <v>646</v>
      </c>
      <c r="N370" s="129">
        <v>43709</v>
      </c>
      <c r="O370" s="129">
        <v>44895</v>
      </c>
      <c r="P370" s="129">
        <v>44895</v>
      </c>
      <c r="Q370" s="323">
        <v>189167</v>
      </c>
      <c r="R370" s="319"/>
      <c r="S370" s="324">
        <v>48700</v>
      </c>
      <c r="T370" s="324"/>
      <c r="U370" s="324">
        <v>25800</v>
      </c>
      <c r="V370" s="324">
        <v>2000</v>
      </c>
      <c r="W370" s="324">
        <v>13500</v>
      </c>
      <c r="X370" s="324"/>
      <c r="Y370" s="312">
        <v>90000</v>
      </c>
      <c r="Z370" s="325">
        <v>90000</v>
      </c>
      <c r="AA370" s="325">
        <v>0</v>
      </c>
      <c r="AB370" s="326"/>
      <c r="AC370" s="324">
        <v>48700</v>
      </c>
      <c r="AD370" s="324"/>
      <c r="AE370" s="324">
        <v>25800</v>
      </c>
      <c r="AF370" s="324">
        <v>2000</v>
      </c>
      <c r="AG370" s="324">
        <v>8500</v>
      </c>
      <c r="AH370" s="324"/>
      <c r="AI370" s="312">
        <v>85000</v>
      </c>
      <c r="AJ370" s="327">
        <v>85000</v>
      </c>
      <c r="AK370" s="327">
        <v>0</v>
      </c>
      <c r="AL370" s="328"/>
      <c r="AM370" s="324">
        <v>8117</v>
      </c>
      <c r="AN370" s="324"/>
      <c r="AO370" s="324">
        <v>4300</v>
      </c>
      <c r="AP370" s="324">
        <v>333</v>
      </c>
      <c r="AQ370" s="324">
        <v>1417</v>
      </c>
      <c r="AR370" s="324"/>
      <c r="AS370" s="293">
        <v>14167</v>
      </c>
      <c r="AT370" s="327">
        <v>14167</v>
      </c>
      <c r="AU370" s="327">
        <v>0</v>
      </c>
      <c r="AV370" s="328"/>
      <c r="AW370" s="279">
        <v>40583</v>
      </c>
      <c r="AX370" s="279"/>
      <c r="AY370" s="279">
        <v>21500</v>
      </c>
      <c r="AZ370" s="279">
        <v>7083</v>
      </c>
      <c r="BA370" s="279">
        <v>1667</v>
      </c>
      <c r="BB370" s="279"/>
      <c r="BC370" s="293">
        <v>70833</v>
      </c>
      <c r="BD370" s="319"/>
      <c r="BE370" s="293"/>
      <c r="BF370" s="319"/>
      <c r="BG370" s="293"/>
      <c r="BH370" s="293"/>
      <c r="BI370" s="337">
        <v>260000</v>
      </c>
      <c r="BJ370" s="338">
        <v>70833</v>
      </c>
      <c r="BK370" s="126"/>
    </row>
    <row r="371" spans="1:65" ht="15.75">
      <c r="A371" s="314">
        <v>501336</v>
      </c>
      <c r="B371" s="125" t="s">
        <v>1384</v>
      </c>
      <c r="C371" s="124" t="s">
        <v>187</v>
      </c>
      <c r="D371" s="126">
        <v>212893</v>
      </c>
      <c r="E371" s="124" t="s">
        <v>1385</v>
      </c>
      <c r="F371" s="124" t="s">
        <v>1386</v>
      </c>
      <c r="G371" s="127" t="s">
        <v>53</v>
      </c>
      <c r="H371" s="126" t="s">
        <v>628</v>
      </c>
      <c r="I371" s="126" t="s">
        <v>598</v>
      </c>
      <c r="J371" s="126" t="s">
        <v>683</v>
      </c>
      <c r="K371" s="128" t="s">
        <v>684</v>
      </c>
      <c r="L371" s="121" t="s">
        <v>515</v>
      </c>
      <c r="M371" s="123" t="s">
        <v>712</v>
      </c>
      <c r="N371" s="129">
        <v>42614</v>
      </c>
      <c r="O371" s="129">
        <v>43708</v>
      </c>
      <c r="P371" s="129">
        <v>44145</v>
      </c>
      <c r="Q371" s="323">
        <v>635550</v>
      </c>
      <c r="R371" s="319"/>
      <c r="S371" s="324">
        <v>55000</v>
      </c>
      <c r="T371" s="324">
        <v>131850</v>
      </c>
      <c r="U371" s="324">
        <v>25000</v>
      </c>
      <c r="V371" s="324"/>
      <c r="W371" s="324">
        <v>0</v>
      </c>
      <c r="X371" s="324">
        <v>0</v>
      </c>
      <c r="Y371" s="312">
        <v>211850</v>
      </c>
      <c r="Z371" s="325">
        <v>211850</v>
      </c>
      <c r="AA371" s="325">
        <v>0</v>
      </c>
      <c r="AB371" s="326"/>
      <c r="AC371" s="324">
        <v>55000</v>
      </c>
      <c r="AD371" s="324">
        <v>0</v>
      </c>
      <c r="AE371" s="324">
        <v>131850</v>
      </c>
      <c r="AF371" s="324">
        <v>25000</v>
      </c>
      <c r="AG371" s="324">
        <v>0</v>
      </c>
      <c r="AH371" s="324"/>
      <c r="AI371" s="312">
        <v>211850</v>
      </c>
      <c r="AJ371" s="327">
        <v>211850</v>
      </c>
      <c r="AK371" s="327">
        <v>0</v>
      </c>
      <c r="AL371" s="328"/>
      <c r="AM371" s="279">
        <v>55000</v>
      </c>
      <c r="AN371" s="279">
        <v>0</v>
      </c>
      <c r="AO371" s="279">
        <v>131850</v>
      </c>
      <c r="AP371" s="279"/>
      <c r="AQ371" s="279">
        <v>25000</v>
      </c>
      <c r="AR371" s="279">
        <v>0</v>
      </c>
      <c r="AS371" s="293">
        <v>211850</v>
      </c>
      <c r="AT371" s="327">
        <v>211850</v>
      </c>
      <c r="AU371" s="327">
        <v>0</v>
      </c>
      <c r="AV371" s="328"/>
      <c r="AW371" s="279"/>
      <c r="AX371" s="279"/>
      <c r="AY371" s="279"/>
      <c r="AZ371" s="279"/>
      <c r="BA371" s="279"/>
      <c r="BB371" s="279"/>
      <c r="BC371" s="293"/>
      <c r="BD371" s="319"/>
      <c r="BE371" s="293"/>
      <c r="BF371" s="319"/>
      <c r="BG371" s="293"/>
      <c r="BH371" s="293"/>
      <c r="BI371" s="337">
        <v>635550</v>
      </c>
      <c r="BJ371" s="338">
        <v>0</v>
      </c>
      <c r="BK371" s="126"/>
    </row>
    <row r="372" spans="1:65" ht="15.75">
      <c r="A372" s="314">
        <v>507693</v>
      </c>
      <c r="B372" s="125" t="s">
        <v>1384</v>
      </c>
      <c r="C372" s="124" t="s">
        <v>187</v>
      </c>
      <c r="D372" s="126">
        <v>212893</v>
      </c>
      <c r="E372" s="124" t="s">
        <v>1385</v>
      </c>
      <c r="F372" s="124" t="s">
        <v>1386</v>
      </c>
      <c r="G372" s="127" t="s">
        <v>53</v>
      </c>
      <c r="H372" s="126" t="s">
        <v>628</v>
      </c>
      <c r="I372" s="126" t="s">
        <v>598</v>
      </c>
      <c r="J372" s="126" t="s">
        <v>683</v>
      </c>
      <c r="K372" s="128" t="s">
        <v>684</v>
      </c>
      <c r="L372" s="121" t="s">
        <v>519</v>
      </c>
      <c r="M372" s="123" t="s">
        <v>717</v>
      </c>
      <c r="N372" s="129">
        <v>43709</v>
      </c>
      <c r="O372" s="129">
        <v>44895</v>
      </c>
      <c r="P372" s="129">
        <v>44895</v>
      </c>
      <c r="Q372" s="323">
        <v>324000</v>
      </c>
      <c r="R372" s="319"/>
      <c r="S372" s="324"/>
      <c r="T372" s="324"/>
      <c r="U372" s="324">
        <v>108000</v>
      </c>
      <c r="V372" s="324"/>
      <c r="W372" s="324"/>
      <c r="X372" s="324"/>
      <c r="Y372" s="312">
        <v>108000</v>
      </c>
      <c r="Z372" s="325">
        <v>108000</v>
      </c>
      <c r="AA372" s="325">
        <v>0</v>
      </c>
      <c r="AB372" s="326"/>
      <c r="AC372" s="324"/>
      <c r="AD372" s="324"/>
      <c r="AE372" s="324">
        <v>108000</v>
      </c>
      <c r="AF372" s="324"/>
      <c r="AG372" s="324"/>
      <c r="AH372" s="324"/>
      <c r="AI372" s="312">
        <v>108000</v>
      </c>
      <c r="AJ372" s="327">
        <v>108000</v>
      </c>
      <c r="AK372" s="327">
        <v>0</v>
      </c>
      <c r="AL372" s="328"/>
      <c r="AM372" s="324"/>
      <c r="AN372" s="324"/>
      <c r="AO372" s="324">
        <v>108000</v>
      </c>
      <c r="AP372" s="324"/>
      <c r="AQ372" s="324"/>
      <c r="AR372" s="324"/>
      <c r="AS372" s="293">
        <v>108000</v>
      </c>
      <c r="AT372" s="327">
        <v>108000</v>
      </c>
      <c r="AU372" s="327">
        <v>0</v>
      </c>
      <c r="AV372" s="328"/>
      <c r="AW372" s="279"/>
      <c r="AX372" s="279"/>
      <c r="AY372" s="279"/>
      <c r="AZ372" s="279"/>
      <c r="BA372" s="279"/>
      <c r="BB372" s="279"/>
      <c r="BC372" s="293"/>
      <c r="BD372" s="319"/>
      <c r="BE372" s="293"/>
      <c r="BF372" s="319"/>
      <c r="BG372" s="293"/>
      <c r="BH372" s="293"/>
      <c r="BI372" s="337">
        <v>324000</v>
      </c>
      <c r="BJ372" s="338">
        <v>0</v>
      </c>
      <c r="BK372" s="126"/>
    </row>
    <row r="373" spans="1:65" ht="15.75">
      <c r="A373" s="314">
        <v>512731</v>
      </c>
      <c r="B373" s="125" t="s">
        <v>1384</v>
      </c>
      <c r="C373" s="124" t="s">
        <v>187</v>
      </c>
      <c r="D373" s="126">
        <v>212893</v>
      </c>
      <c r="E373" s="124" t="s">
        <v>1385</v>
      </c>
      <c r="F373" s="124" t="s">
        <v>1386</v>
      </c>
      <c r="G373" s="127" t="s">
        <v>53</v>
      </c>
      <c r="H373" s="126" t="s">
        <v>628</v>
      </c>
      <c r="I373" s="126" t="s">
        <v>598</v>
      </c>
      <c r="J373" s="126" t="s">
        <v>683</v>
      </c>
      <c r="K373" s="128" t="s">
        <v>684</v>
      </c>
      <c r="L373" s="121" t="s">
        <v>685</v>
      </c>
      <c r="M373" s="123" t="s">
        <v>1175</v>
      </c>
      <c r="N373" s="129">
        <v>44409</v>
      </c>
      <c r="O373" s="129">
        <v>44957</v>
      </c>
      <c r="P373" s="129">
        <v>44957</v>
      </c>
      <c r="Q373" s="323">
        <v>10000</v>
      </c>
      <c r="R373" s="319"/>
      <c r="S373" s="324"/>
      <c r="T373" s="324"/>
      <c r="U373" s="324">
        <v>10000</v>
      </c>
      <c r="V373" s="324"/>
      <c r="W373" s="324"/>
      <c r="X373" s="324"/>
      <c r="Y373" s="312">
        <v>10000</v>
      </c>
      <c r="Z373" s="325">
        <v>10000</v>
      </c>
      <c r="AA373" s="325">
        <v>0</v>
      </c>
      <c r="AB373" s="326"/>
      <c r="AC373" s="324"/>
      <c r="AD373" s="324"/>
      <c r="AE373" s="324"/>
      <c r="AF373" s="324"/>
      <c r="AG373" s="324"/>
      <c r="AH373" s="324"/>
      <c r="AI373" s="312"/>
      <c r="AJ373" s="327"/>
      <c r="AK373" s="327"/>
      <c r="AL373" s="328"/>
      <c r="AM373" s="324"/>
      <c r="AN373" s="324"/>
      <c r="AO373" s="324"/>
      <c r="AP373" s="324"/>
      <c r="AQ373" s="324"/>
      <c r="AR373" s="324"/>
      <c r="AS373" s="293"/>
      <c r="AT373" s="327"/>
      <c r="AU373" s="327"/>
      <c r="AV373" s="328"/>
      <c r="AW373" s="279"/>
      <c r="AX373" s="279"/>
      <c r="AY373" s="279"/>
      <c r="AZ373" s="279"/>
      <c r="BA373" s="279"/>
      <c r="BB373" s="279"/>
      <c r="BC373" s="293"/>
      <c r="BD373" s="319"/>
      <c r="BE373" s="293"/>
      <c r="BF373" s="319"/>
      <c r="BG373" s="293"/>
      <c r="BH373" s="293"/>
      <c r="BI373" s="337">
        <v>10000</v>
      </c>
      <c r="BJ373" s="338">
        <v>0</v>
      </c>
      <c r="BK373" s="126"/>
    </row>
    <row r="374" spans="1:65" ht="15.75">
      <c r="A374" s="314">
        <v>499906</v>
      </c>
      <c r="B374" s="125" t="s">
        <v>1387</v>
      </c>
      <c r="C374" s="124" t="s">
        <v>1388</v>
      </c>
      <c r="D374" s="126">
        <v>212931</v>
      </c>
      <c r="E374" s="148" t="s">
        <v>1389</v>
      </c>
      <c r="F374" s="148" t="s">
        <v>1390</v>
      </c>
      <c r="G374" s="127" t="s">
        <v>46</v>
      </c>
      <c r="H374" s="149" t="s">
        <v>597</v>
      </c>
      <c r="I374" s="126" t="s">
        <v>609</v>
      </c>
      <c r="J374" s="126" t="s">
        <v>610</v>
      </c>
      <c r="K374" s="128" t="s">
        <v>819</v>
      </c>
      <c r="L374" s="121" t="s">
        <v>637</v>
      </c>
      <c r="M374" s="123" t="s">
        <v>638</v>
      </c>
      <c r="N374" s="129">
        <v>42248</v>
      </c>
      <c r="O374" s="129">
        <v>42643</v>
      </c>
      <c r="P374" s="129">
        <v>42668</v>
      </c>
      <c r="Q374" s="330">
        <v>40000</v>
      </c>
      <c r="R374" s="324">
        <v>40000</v>
      </c>
      <c r="S374" s="324"/>
      <c r="T374" s="324">
        <v>0</v>
      </c>
      <c r="U374" s="324">
        <v>0</v>
      </c>
      <c r="V374" s="324"/>
      <c r="W374" s="324">
        <v>0</v>
      </c>
      <c r="X374" s="324">
        <v>0</v>
      </c>
      <c r="Y374" s="312">
        <v>40000</v>
      </c>
      <c r="Z374" s="325">
        <v>40000</v>
      </c>
      <c r="AA374" s="325">
        <v>0</v>
      </c>
      <c r="AB374" s="326"/>
      <c r="AC374" s="324" t="s">
        <v>602</v>
      </c>
      <c r="AD374" s="324" t="s">
        <v>602</v>
      </c>
      <c r="AE374" s="324" t="s">
        <v>602</v>
      </c>
      <c r="AF374" s="324" t="s">
        <v>602</v>
      </c>
      <c r="AG374" s="324" t="s">
        <v>602</v>
      </c>
      <c r="AH374" s="324"/>
      <c r="AI374" s="312">
        <v>0</v>
      </c>
      <c r="AJ374" s="327">
        <v>0</v>
      </c>
      <c r="AK374" s="327">
        <v>0</v>
      </c>
      <c r="AL374" s="328"/>
      <c r="AM374" s="324">
        <v>0</v>
      </c>
      <c r="AN374" s="324">
        <v>0</v>
      </c>
      <c r="AO374" s="324">
        <v>0</v>
      </c>
      <c r="AP374" s="324">
        <v>0</v>
      </c>
      <c r="AQ374" s="324">
        <v>0</v>
      </c>
      <c r="AR374" s="324">
        <v>0</v>
      </c>
      <c r="AS374" s="293">
        <v>0</v>
      </c>
      <c r="AT374" s="327">
        <v>0</v>
      </c>
      <c r="AU374" s="327">
        <v>0</v>
      </c>
      <c r="AV374" s="328"/>
      <c r="AW374" s="324" t="s">
        <v>602</v>
      </c>
      <c r="AX374" s="324" t="s">
        <v>602</v>
      </c>
      <c r="AY374" s="324" t="s">
        <v>602</v>
      </c>
      <c r="AZ374" s="324" t="s">
        <v>602</v>
      </c>
      <c r="BA374" s="324"/>
      <c r="BB374" s="324" t="s">
        <v>602</v>
      </c>
      <c r="BC374" s="293"/>
      <c r="BD374" s="319"/>
      <c r="BE374" s="293"/>
      <c r="BF374" s="319"/>
      <c r="BG374" s="293"/>
      <c r="BH374" s="293"/>
      <c r="BI374" s="337">
        <v>40000</v>
      </c>
      <c r="BJ374" s="338">
        <v>0</v>
      </c>
      <c r="BK374" s="280"/>
    </row>
    <row r="375" spans="1:65" ht="15.75">
      <c r="A375" s="314">
        <v>500488</v>
      </c>
      <c r="B375" s="125" t="s">
        <v>1387</v>
      </c>
      <c r="C375" s="124" t="s">
        <v>1388</v>
      </c>
      <c r="D375" s="126">
        <v>212931</v>
      </c>
      <c r="E375" s="148" t="s">
        <v>1389</v>
      </c>
      <c r="F375" s="148" t="s">
        <v>1390</v>
      </c>
      <c r="G375" s="127" t="s">
        <v>53</v>
      </c>
      <c r="H375" s="149" t="s">
        <v>597</v>
      </c>
      <c r="I375" s="126" t="s">
        <v>609</v>
      </c>
      <c r="J375" s="126" t="s">
        <v>610</v>
      </c>
      <c r="K375" s="128" t="s">
        <v>819</v>
      </c>
      <c r="L375" s="124" t="s">
        <v>521</v>
      </c>
      <c r="M375" s="143" t="s">
        <v>661</v>
      </c>
      <c r="N375" s="129">
        <v>42401</v>
      </c>
      <c r="O375" s="129">
        <v>43131</v>
      </c>
      <c r="P375" s="129">
        <v>43131</v>
      </c>
      <c r="Q375" s="330">
        <v>60000</v>
      </c>
      <c r="R375" s="331"/>
      <c r="S375" s="324">
        <v>30000</v>
      </c>
      <c r="T375" s="324">
        <v>0</v>
      </c>
      <c r="U375" s="324">
        <v>0</v>
      </c>
      <c r="V375" s="324">
        <v>0</v>
      </c>
      <c r="W375" s="324">
        <v>0</v>
      </c>
      <c r="X375" s="324">
        <v>0</v>
      </c>
      <c r="Y375" s="312">
        <v>30000</v>
      </c>
      <c r="Z375" s="325">
        <v>30000</v>
      </c>
      <c r="AA375" s="325">
        <v>0</v>
      </c>
      <c r="AB375" s="326"/>
      <c r="AC375" s="324">
        <v>30000</v>
      </c>
      <c r="AD375" s="324">
        <v>0</v>
      </c>
      <c r="AE375" s="324">
        <v>0</v>
      </c>
      <c r="AF375" s="324">
        <v>0</v>
      </c>
      <c r="AG375" s="324">
        <v>0</v>
      </c>
      <c r="AH375" s="324"/>
      <c r="AI375" s="312">
        <v>30000</v>
      </c>
      <c r="AJ375" s="327">
        <v>30000</v>
      </c>
      <c r="AK375" s="327">
        <v>0</v>
      </c>
      <c r="AL375" s="328"/>
      <c r="AM375" s="324">
        <v>0</v>
      </c>
      <c r="AN375" s="324">
        <v>0</v>
      </c>
      <c r="AO375" s="324">
        <v>0</v>
      </c>
      <c r="AP375" s="324">
        <v>0</v>
      </c>
      <c r="AQ375" s="324">
        <v>0</v>
      </c>
      <c r="AR375" s="324">
        <v>0</v>
      </c>
      <c r="AS375" s="293">
        <v>0</v>
      </c>
      <c r="AT375" s="327">
        <v>0</v>
      </c>
      <c r="AU375" s="327">
        <v>0</v>
      </c>
      <c r="AV375" s="328"/>
      <c r="AW375" s="279"/>
      <c r="AX375" s="279"/>
      <c r="AY375" s="279"/>
      <c r="AZ375" s="279"/>
      <c r="BA375" s="279"/>
      <c r="BB375" s="279"/>
      <c r="BC375" s="293"/>
      <c r="BD375" s="319"/>
      <c r="BE375" s="293"/>
      <c r="BF375" s="319"/>
      <c r="BG375" s="293"/>
      <c r="BH375" s="293"/>
      <c r="BI375" s="337">
        <v>60000</v>
      </c>
      <c r="BJ375" s="338">
        <v>0</v>
      </c>
      <c r="BK375" s="123" t="s">
        <v>941</v>
      </c>
      <c r="BL375" s="91" t="s">
        <v>1391</v>
      </c>
    </row>
    <row r="376" spans="1:65" ht="15.75">
      <c r="A376" s="384">
        <v>512445</v>
      </c>
      <c r="B376" s="125" t="s">
        <v>1392</v>
      </c>
      <c r="C376" s="124" t="s">
        <v>103</v>
      </c>
      <c r="D376" s="126">
        <v>213041</v>
      </c>
      <c r="E376" s="124" t="s">
        <v>1393</v>
      </c>
      <c r="F376" s="124" t="s">
        <v>1394</v>
      </c>
      <c r="G376" s="185" t="s">
        <v>53</v>
      </c>
      <c r="H376" s="126" t="s">
        <v>597</v>
      </c>
      <c r="I376" s="126" t="s">
        <v>1395</v>
      </c>
      <c r="J376" s="126" t="s">
        <v>1396</v>
      </c>
      <c r="K376" s="169" t="s">
        <v>1397</v>
      </c>
      <c r="L376" s="121" t="s">
        <v>10</v>
      </c>
      <c r="M376" s="168" t="s">
        <v>1398</v>
      </c>
      <c r="N376" s="129">
        <v>44317</v>
      </c>
      <c r="O376" s="129">
        <v>44681</v>
      </c>
      <c r="P376" s="129">
        <v>44681</v>
      </c>
      <c r="Q376" s="323">
        <v>153810</v>
      </c>
      <c r="R376" s="319"/>
      <c r="S376" s="324">
        <v>108810</v>
      </c>
      <c r="T376" s="324">
        <v>0</v>
      </c>
      <c r="U376" s="324">
        <v>0</v>
      </c>
      <c r="V376" s="324">
        <v>0</v>
      </c>
      <c r="W376" s="324">
        <v>0</v>
      </c>
      <c r="X376" s="324">
        <v>45000</v>
      </c>
      <c r="Y376" s="312">
        <v>153810</v>
      </c>
      <c r="Z376" s="325">
        <v>153810</v>
      </c>
      <c r="AA376" s="325">
        <v>0</v>
      </c>
      <c r="AB376" s="326"/>
      <c r="AC376" s="324">
        <v>108810</v>
      </c>
      <c r="AD376" s="324">
        <v>0</v>
      </c>
      <c r="AE376" s="324">
        <v>0</v>
      </c>
      <c r="AF376" s="324">
        <v>0</v>
      </c>
      <c r="AG376" s="324">
        <v>0</v>
      </c>
      <c r="AH376" s="324">
        <v>0</v>
      </c>
      <c r="AI376" s="312">
        <v>108810</v>
      </c>
      <c r="AJ376" s="327">
        <v>108810</v>
      </c>
      <c r="AK376" s="327">
        <v>0</v>
      </c>
      <c r="AL376" s="328"/>
      <c r="AM376" s="279"/>
      <c r="AN376" s="279"/>
      <c r="AO376" s="279"/>
      <c r="AP376" s="279"/>
      <c r="AQ376" s="279"/>
      <c r="AR376" s="279"/>
      <c r="AS376" s="293"/>
      <c r="AT376" s="327"/>
      <c r="AU376" s="327"/>
      <c r="AV376" s="328"/>
      <c r="AW376" s="279"/>
      <c r="AX376" s="279"/>
      <c r="AY376" s="279"/>
      <c r="AZ376" s="279"/>
      <c r="BA376" s="279"/>
      <c r="BB376" s="279"/>
      <c r="BC376" s="293"/>
      <c r="BD376" s="319"/>
      <c r="BE376" s="293"/>
      <c r="BF376" s="319"/>
      <c r="BG376" s="293"/>
      <c r="BH376" s="293"/>
      <c r="BI376" s="337">
        <v>262620</v>
      </c>
      <c r="BJ376" s="338">
        <v>108810</v>
      </c>
      <c r="BK376" s="126"/>
    </row>
    <row r="377" spans="1:65" ht="15.75">
      <c r="A377" s="314">
        <v>501341</v>
      </c>
      <c r="B377" s="125" t="s">
        <v>1399</v>
      </c>
      <c r="C377" s="124" t="s">
        <v>1400</v>
      </c>
      <c r="D377" s="126">
        <v>213043</v>
      </c>
      <c r="E377" s="148" t="s">
        <v>1401</v>
      </c>
      <c r="F377" s="148" t="s">
        <v>1402</v>
      </c>
      <c r="G377" s="127" t="s">
        <v>46</v>
      </c>
      <c r="H377" s="123" t="s">
        <v>628</v>
      </c>
      <c r="I377" s="126" t="s">
        <v>598</v>
      </c>
      <c r="J377" s="126" t="s">
        <v>683</v>
      </c>
      <c r="K377" s="128" t="s">
        <v>684</v>
      </c>
      <c r="L377" s="121" t="s">
        <v>515</v>
      </c>
      <c r="M377" s="143" t="s">
        <v>713</v>
      </c>
      <c r="N377" s="129">
        <v>43344</v>
      </c>
      <c r="O377" s="129">
        <v>43708</v>
      </c>
      <c r="P377" s="129">
        <v>44145</v>
      </c>
      <c r="Q377" s="330">
        <v>25000</v>
      </c>
      <c r="R377" s="331"/>
      <c r="S377" s="324">
        <v>0</v>
      </c>
      <c r="T377" s="324">
        <v>0</v>
      </c>
      <c r="U377" s="324">
        <v>0</v>
      </c>
      <c r="V377" s="324"/>
      <c r="W377" s="324">
        <v>0</v>
      </c>
      <c r="X377" s="324">
        <v>0</v>
      </c>
      <c r="Y377" s="312">
        <v>0</v>
      </c>
      <c r="Z377" s="325">
        <v>0</v>
      </c>
      <c r="AA377" s="325">
        <v>0</v>
      </c>
      <c r="AB377" s="326"/>
      <c r="AC377" s="324">
        <v>0</v>
      </c>
      <c r="AD377" s="324">
        <v>0</v>
      </c>
      <c r="AE377" s="324">
        <v>0</v>
      </c>
      <c r="AF377" s="324">
        <v>0</v>
      </c>
      <c r="AG377" s="324">
        <v>0</v>
      </c>
      <c r="AH377" s="324"/>
      <c r="AI377" s="312">
        <v>0</v>
      </c>
      <c r="AJ377" s="327">
        <v>0</v>
      </c>
      <c r="AK377" s="327">
        <v>0</v>
      </c>
      <c r="AL377" s="328"/>
      <c r="AM377" s="279">
        <v>25000</v>
      </c>
      <c r="AN377" s="279">
        <v>0</v>
      </c>
      <c r="AO377" s="279">
        <v>0</v>
      </c>
      <c r="AP377" s="279"/>
      <c r="AQ377" s="279">
        <v>0</v>
      </c>
      <c r="AR377" s="279">
        <v>0</v>
      </c>
      <c r="AS377" s="293">
        <v>25000</v>
      </c>
      <c r="AT377" s="327">
        <v>25000</v>
      </c>
      <c r="AU377" s="327">
        <v>0</v>
      </c>
      <c r="AV377" s="328"/>
      <c r="AW377" s="279"/>
      <c r="AX377" s="279"/>
      <c r="AY377" s="279"/>
      <c r="AZ377" s="279"/>
      <c r="BA377" s="279"/>
      <c r="BB377" s="279"/>
      <c r="BC377" s="293"/>
      <c r="BD377" s="319"/>
      <c r="BE377" s="293"/>
      <c r="BF377" s="319"/>
      <c r="BG377" s="293"/>
      <c r="BH377" s="293"/>
      <c r="BI377" s="337">
        <v>25000</v>
      </c>
      <c r="BJ377" s="338">
        <v>0</v>
      </c>
      <c r="BK377" s="280" t="s">
        <v>1403</v>
      </c>
    </row>
    <row r="378" spans="1:65" ht="15.75">
      <c r="A378" s="314">
        <v>506682</v>
      </c>
      <c r="B378" s="340" t="s">
        <v>1404</v>
      </c>
      <c r="C378" s="124" t="s">
        <v>136</v>
      </c>
      <c r="D378" s="126">
        <v>213061</v>
      </c>
      <c r="E378" s="149" t="s">
        <v>1405</v>
      </c>
      <c r="F378" s="149" t="s">
        <v>1406</v>
      </c>
      <c r="G378" s="127" t="s">
        <v>82</v>
      </c>
      <c r="H378" s="149" t="s">
        <v>597</v>
      </c>
      <c r="I378" s="126" t="s">
        <v>598</v>
      </c>
      <c r="J378" s="126" t="s">
        <v>888</v>
      </c>
      <c r="K378" s="128" t="s">
        <v>731</v>
      </c>
      <c r="L378" s="121" t="s">
        <v>19</v>
      </c>
      <c r="M378" s="123" t="s">
        <v>1407</v>
      </c>
      <c r="N378" s="129">
        <v>43556</v>
      </c>
      <c r="O378" s="129">
        <v>43921</v>
      </c>
      <c r="P378" s="129">
        <v>43921</v>
      </c>
      <c r="Q378" s="330">
        <v>75000</v>
      </c>
      <c r="R378" s="331"/>
      <c r="S378" s="324">
        <v>55315</v>
      </c>
      <c r="T378" s="324"/>
      <c r="U378" s="324">
        <v>15685</v>
      </c>
      <c r="V378" s="324">
        <v>0</v>
      </c>
      <c r="W378" s="324">
        <v>4000</v>
      </c>
      <c r="X378" s="324">
        <v>0</v>
      </c>
      <c r="Y378" s="312">
        <v>75000</v>
      </c>
      <c r="Z378" s="325">
        <v>75000</v>
      </c>
      <c r="AA378" s="325">
        <v>0</v>
      </c>
      <c r="AB378" s="326"/>
      <c r="AC378" s="324" t="s">
        <v>602</v>
      </c>
      <c r="AD378" s="324" t="s">
        <v>602</v>
      </c>
      <c r="AE378" s="324" t="s">
        <v>602</v>
      </c>
      <c r="AF378" s="324" t="s">
        <v>602</v>
      </c>
      <c r="AG378" s="324" t="s">
        <v>602</v>
      </c>
      <c r="AH378" s="324"/>
      <c r="AI378" s="312"/>
      <c r="AJ378" s="327">
        <v>0</v>
      </c>
      <c r="AK378" s="327">
        <v>0</v>
      </c>
      <c r="AL378" s="339"/>
      <c r="AM378" s="324">
        <v>0</v>
      </c>
      <c r="AN378" s="324">
        <v>0</v>
      </c>
      <c r="AO378" s="324">
        <v>0</v>
      </c>
      <c r="AP378" s="324">
        <v>0</v>
      </c>
      <c r="AQ378" s="324">
        <v>0</v>
      </c>
      <c r="AR378" s="324">
        <v>0</v>
      </c>
      <c r="AS378" s="293"/>
      <c r="AT378" s="327">
        <v>0</v>
      </c>
      <c r="AU378" s="327">
        <v>0</v>
      </c>
      <c r="AV378" s="328"/>
      <c r="AW378" s="279"/>
      <c r="AX378" s="279"/>
      <c r="AY378" s="279"/>
      <c r="AZ378" s="279"/>
      <c r="BA378" s="279"/>
      <c r="BB378" s="279"/>
      <c r="BC378" s="293"/>
      <c r="BD378" s="319"/>
      <c r="BE378" s="293"/>
      <c r="BF378" s="319"/>
      <c r="BG378" s="293"/>
      <c r="BH378" s="293"/>
      <c r="BI378" s="337">
        <v>75000</v>
      </c>
      <c r="BJ378" s="338">
        <v>0</v>
      </c>
      <c r="BK378" s="280"/>
    </row>
    <row r="379" spans="1:65" ht="15.75">
      <c r="A379" s="383">
        <v>511777</v>
      </c>
      <c r="B379" s="125" t="s">
        <v>1408</v>
      </c>
      <c r="C379" s="124" t="s">
        <v>51</v>
      </c>
      <c r="D379" s="126">
        <v>213181</v>
      </c>
      <c r="E379" s="124" t="s">
        <v>1409</v>
      </c>
      <c r="F379" s="124" t="s">
        <v>1410</v>
      </c>
      <c r="G379" s="127" t="s">
        <v>53</v>
      </c>
      <c r="H379" s="126" t="s">
        <v>597</v>
      </c>
      <c r="I379" s="126" t="s">
        <v>598</v>
      </c>
      <c r="J379" s="126" t="s">
        <v>730</v>
      </c>
      <c r="K379" s="128" t="s">
        <v>735</v>
      </c>
      <c r="L379" s="121" t="s">
        <v>518</v>
      </c>
      <c r="M379" s="123" t="s">
        <v>1411</v>
      </c>
      <c r="N379" s="129">
        <v>44197</v>
      </c>
      <c r="O379" s="129">
        <v>44805</v>
      </c>
      <c r="P379" s="129">
        <v>44805</v>
      </c>
      <c r="Q379" s="323">
        <v>225000</v>
      </c>
      <c r="R379" s="319"/>
      <c r="S379" s="324"/>
      <c r="T379" s="324">
        <v>50000</v>
      </c>
      <c r="U379" s="324"/>
      <c r="V379" s="324"/>
      <c r="W379" s="324"/>
      <c r="X379" s="324"/>
      <c r="Y379" s="312">
        <v>50000</v>
      </c>
      <c r="Z379" s="325">
        <v>50000</v>
      </c>
      <c r="AA379" s="325">
        <v>0</v>
      </c>
      <c r="AB379" s="326"/>
      <c r="AC379" s="324"/>
      <c r="AD379" s="324">
        <v>175000</v>
      </c>
      <c r="AE379" s="324"/>
      <c r="AF379" s="324"/>
      <c r="AG379" s="324"/>
      <c r="AH379" s="324"/>
      <c r="AI379" s="312">
        <v>175000</v>
      </c>
      <c r="AJ379" s="327">
        <v>175000</v>
      </c>
      <c r="AK379" s="327">
        <v>0</v>
      </c>
      <c r="AL379" s="328"/>
      <c r="AM379" s="279"/>
      <c r="AN379" s="279">
        <v>25000</v>
      </c>
      <c r="AO379" s="279"/>
      <c r="AP379" s="279"/>
      <c r="AQ379" s="279"/>
      <c r="AR379" s="279"/>
      <c r="AS379" s="293">
        <v>25000</v>
      </c>
      <c r="AT379" s="327">
        <v>25000</v>
      </c>
      <c r="AU379" s="327">
        <v>0</v>
      </c>
      <c r="AV379" s="328"/>
      <c r="AW379" s="279"/>
      <c r="AX379" s="279"/>
      <c r="AY379" s="279"/>
      <c r="AZ379" s="279"/>
      <c r="BA379" s="279"/>
      <c r="BB379" s="279"/>
      <c r="BC379" s="293"/>
      <c r="BD379" s="319"/>
      <c r="BE379" s="293"/>
      <c r="BF379" s="319"/>
      <c r="BG379" s="293"/>
      <c r="BH379" s="293"/>
      <c r="BI379" s="337">
        <v>250000</v>
      </c>
      <c r="BJ379" s="338">
        <v>25000</v>
      </c>
      <c r="BK379" s="126"/>
    </row>
    <row r="380" spans="1:65" ht="15.75">
      <c r="A380" s="382">
        <v>511941</v>
      </c>
      <c r="B380" s="125" t="s">
        <v>1412</v>
      </c>
      <c r="C380" s="124" t="s">
        <v>57</v>
      </c>
      <c r="D380" s="126">
        <v>213182</v>
      </c>
      <c r="E380" s="124" t="s">
        <v>1413</v>
      </c>
      <c r="F380" s="124" t="s">
        <v>1414</v>
      </c>
      <c r="G380" s="127" t="s">
        <v>53</v>
      </c>
      <c r="H380" s="126" t="s">
        <v>597</v>
      </c>
      <c r="I380" s="126" t="s">
        <v>598</v>
      </c>
      <c r="J380" s="126" t="s">
        <v>730</v>
      </c>
      <c r="K380" s="128" t="s">
        <v>735</v>
      </c>
      <c r="L380" s="121" t="s">
        <v>518</v>
      </c>
      <c r="M380" s="123" t="s">
        <v>1411</v>
      </c>
      <c r="N380" s="129">
        <v>44197</v>
      </c>
      <c r="O380" s="129">
        <v>44805</v>
      </c>
      <c r="P380" s="129">
        <v>44805</v>
      </c>
      <c r="Q380" s="323">
        <v>225000</v>
      </c>
      <c r="R380" s="319"/>
      <c r="S380" s="324"/>
      <c r="T380" s="324">
        <v>50000</v>
      </c>
      <c r="U380" s="324"/>
      <c r="V380" s="324"/>
      <c r="W380" s="324"/>
      <c r="X380" s="324"/>
      <c r="Y380" s="312">
        <v>50000</v>
      </c>
      <c r="Z380" s="325">
        <v>50000</v>
      </c>
      <c r="AA380" s="325">
        <v>0</v>
      </c>
      <c r="AB380" s="326"/>
      <c r="AC380" s="324"/>
      <c r="AD380" s="324">
        <v>175000</v>
      </c>
      <c r="AE380" s="324"/>
      <c r="AF380" s="324"/>
      <c r="AG380" s="324"/>
      <c r="AH380" s="324"/>
      <c r="AI380" s="312">
        <v>175000</v>
      </c>
      <c r="AJ380" s="327">
        <v>175000</v>
      </c>
      <c r="AK380" s="327">
        <v>0</v>
      </c>
      <c r="AL380" s="328"/>
      <c r="AM380" s="279"/>
      <c r="AN380" s="279">
        <v>25000</v>
      </c>
      <c r="AO380" s="279"/>
      <c r="AP380" s="279"/>
      <c r="AQ380" s="279"/>
      <c r="AR380" s="279"/>
      <c r="AS380" s="293">
        <v>25000</v>
      </c>
      <c r="AT380" s="327">
        <v>25000</v>
      </c>
      <c r="AU380" s="327"/>
      <c r="AV380" s="328"/>
      <c r="AW380" s="279"/>
      <c r="AX380" s="279"/>
      <c r="AY380" s="279"/>
      <c r="AZ380" s="279"/>
      <c r="BA380" s="279"/>
      <c r="BB380" s="279"/>
      <c r="BC380" s="293"/>
      <c r="BD380" s="319"/>
      <c r="BE380" s="293"/>
      <c r="BF380" s="319"/>
      <c r="BG380" s="293"/>
      <c r="BH380" s="293"/>
      <c r="BI380" s="337">
        <v>250000</v>
      </c>
      <c r="BJ380" s="338">
        <v>25000</v>
      </c>
      <c r="BK380" s="126"/>
    </row>
    <row r="381" spans="1:65" ht="15.75">
      <c r="A381" s="314">
        <v>507776</v>
      </c>
      <c r="B381" s="125" t="s">
        <v>1415</v>
      </c>
      <c r="C381" s="124" t="s">
        <v>141</v>
      </c>
      <c r="D381" s="126">
        <v>213194</v>
      </c>
      <c r="E381" s="121" t="s">
        <v>1416</v>
      </c>
      <c r="F381" s="121" t="s">
        <v>1417</v>
      </c>
      <c r="G381" s="127" t="s">
        <v>46</v>
      </c>
      <c r="H381" s="126" t="s">
        <v>628</v>
      </c>
      <c r="I381" s="126" t="s">
        <v>598</v>
      </c>
      <c r="J381" s="126" t="s">
        <v>888</v>
      </c>
      <c r="K381" s="128" t="s">
        <v>731</v>
      </c>
      <c r="L381" s="121" t="s">
        <v>519</v>
      </c>
      <c r="M381" s="123" t="s">
        <v>1080</v>
      </c>
      <c r="N381" s="129">
        <v>44166</v>
      </c>
      <c r="O381" s="129">
        <v>44895</v>
      </c>
      <c r="P381" s="129">
        <v>44895</v>
      </c>
      <c r="Q381" s="330">
        <v>100000</v>
      </c>
      <c r="R381" s="331"/>
      <c r="S381" s="324">
        <v>0</v>
      </c>
      <c r="T381" s="324">
        <v>0</v>
      </c>
      <c r="U381" s="324">
        <v>0</v>
      </c>
      <c r="V381" s="324">
        <v>0</v>
      </c>
      <c r="W381" s="324">
        <v>0</v>
      </c>
      <c r="X381" s="324">
        <v>0</v>
      </c>
      <c r="Y381" s="312">
        <v>0</v>
      </c>
      <c r="Z381" s="325">
        <v>0</v>
      </c>
      <c r="AA381" s="325">
        <v>0</v>
      </c>
      <c r="AB381" s="326"/>
      <c r="AC381" s="324">
        <v>0</v>
      </c>
      <c r="AD381" s="324">
        <v>0</v>
      </c>
      <c r="AE381" s="324">
        <v>0</v>
      </c>
      <c r="AF381" s="324">
        <v>0</v>
      </c>
      <c r="AG381" s="324">
        <v>50000</v>
      </c>
      <c r="AH381" s="324">
        <v>0</v>
      </c>
      <c r="AI381" s="312">
        <v>50000</v>
      </c>
      <c r="AJ381" s="327">
        <v>50000</v>
      </c>
      <c r="AK381" s="327">
        <v>0</v>
      </c>
      <c r="AL381" s="328"/>
      <c r="AM381" s="279">
        <v>0</v>
      </c>
      <c r="AN381" s="279">
        <v>0</v>
      </c>
      <c r="AO381" s="279">
        <v>0</v>
      </c>
      <c r="AP381" s="279">
        <v>0</v>
      </c>
      <c r="AQ381" s="279">
        <v>50000</v>
      </c>
      <c r="AR381" s="279">
        <v>0</v>
      </c>
      <c r="AS381" s="293">
        <v>50000</v>
      </c>
      <c r="AT381" s="327">
        <v>50000</v>
      </c>
      <c r="AU381" s="327">
        <v>0</v>
      </c>
      <c r="AV381" s="328"/>
      <c r="AW381" s="279"/>
      <c r="AX381" s="279"/>
      <c r="AY381" s="279"/>
      <c r="AZ381" s="279"/>
      <c r="BA381" s="279"/>
      <c r="BB381" s="279"/>
      <c r="BC381" s="293"/>
      <c r="BD381" s="319"/>
      <c r="BE381" s="293"/>
      <c r="BF381" s="319"/>
      <c r="BG381" s="293"/>
      <c r="BH381" s="293"/>
      <c r="BI381" s="337">
        <v>100000</v>
      </c>
      <c r="BJ381" s="338">
        <v>0</v>
      </c>
      <c r="BK381" s="280"/>
    </row>
    <row r="382" spans="1:65" ht="15.75">
      <c r="A382" s="385">
        <v>512148</v>
      </c>
      <c r="B382" s="332" t="s">
        <v>1418</v>
      </c>
      <c r="C382" s="124" t="s">
        <v>73</v>
      </c>
      <c r="D382" s="126">
        <v>213202</v>
      </c>
      <c r="E382" s="124" t="s">
        <v>1419</v>
      </c>
      <c r="F382" s="124" t="s">
        <v>1420</v>
      </c>
      <c r="G382" s="127" t="s">
        <v>75</v>
      </c>
      <c r="H382" s="126" t="s">
        <v>597</v>
      </c>
      <c r="I382" s="126" t="s">
        <v>598</v>
      </c>
      <c r="J382" s="126" t="s">
        <v>635</v>
      </c>
      <c r="K382" s="128" t="s">
        <v>636</v>
      </c>
      <c r="L382" s="121" t="s">
        <v>518</v>
      </c>
      <c r="M382" s="123" t="s">
        <v>1411</v>
      </c>
      <c r="N382" s="129">
        <v>44200</v>
      </c>
      <c r="O382" s="129">
        <v>44805</v>
      </c>
      <c r="P382" s="129">
        <v>44805</v>
      </c>
      <c r="Q382" s="323">
        <v>107407</v>
      </c>
      <c r="R382" s="334"/>
      <c r="S382" s="324">
        <v>13922</v>
      </c>
      <c r="T382" s="324">
        <v>0</v>
      </c>
      <c r="U382" s="324">
        <v>16714</v>
      </c>
      <c r="V382" s="324">
        <v>0</v>
      </c>
      <c r="W382" s="324">
        <v>0</v>
      </c>
      <c r="X382" s="324">
        <v>0</v>
      </c>
      <c r="Y382" s="312">
        <v>30636</v>
      </c>
      <c r="Z382" s="325">
        <v>30636</v>
      </c>
      <c r="AA382" s="325">
        <v>0</v>
      </c>
      <c r="AB382" s="326"/>
      <c r="AC382" s="324">
        <v>31407</v>
      </c>
      <c r="AD382" s="324">
        <v>6000</v>
      </c>
      <c r="AE382" s="324">
        <v>39364</v>
      </c>
      <c r="AF382" s="324">
        <v>0</v>
      </c>
      <c r="AG382" s="324">
        <v>0</v>
      </c>
      <c r="AH382" s="324">
        <v>0</v>
      </c>
      <c r="AI382" s="312">
        <v>76771</v>
      </c>
      <c r="AJ382" s="327">
        <v>76771</v>
      </c>
      <c r="AK382" s="327">
        <v>0</v>
      </c>
      <c r="AL382" s="328"/>
      <c r="AM382" s="324">
        <v>13086</v>
      </c>
      <c r="AN382" s="324">
        <v>0</v>
      </c>
      <c r="AO382" s="324">
        <v>29507</v>
      </c>
      <c r="AP382" s="324">
        <v>0</v>
      </c>
      <c r="AQ382" s="324">
        <v>0</v>
      </c>
      <c r="AR382" s="324">
        <v>0</v>
      </c>
      <c r="AS382" s="293">
        <v>42593</v>
      </c>
      <c r="AT382" s="327">
        <v>42593</v>
      </c>
      <c r="AU382" s="327">
        <v>0</v>
      </c>
      <c r="AV382" s="328"/>
      <c r="AW382" s="279"/>
      <c r="AX382" s="279"/>
      <c r="AY382" s="279"/>
      <c r="AZ382" s="279"/>
      <c r="BA382" s="279"/>
      <c r="BB382" s="279"/>
      <c r="BC382" s="293"/>
      <c r="BD382" s="319"/>
      <c r="BE382" s="293"/>
      <c r="BF382" s="319"/>
      <c r="BG382" s="293"/>
      <c r="BH382" s="293"/>
      <c r="BI382" s="337">
        <v>150000</v>
      </c>
      <c r="BJ382" s="338">
        <v>42593</v>
      </c>
      <c r="BK382" s="126"/>
    </row>
    <row r="383" spans="1:65" ht="15.75">
      <c r="A383" s="314">
        <v>512329</v>
      </c>
      <c r="B383" s="125" t="s">
        <v>1421</v>
      </c>
      <c r="C383" s="124" t="s">
        <v>1422</v>
      </c>
      <c r="D383" s="126">
        <v>213207</v>
      </c>
      <c r="E383" s="124" t="s">
        <v>1423</v>
      </c>
      <c r="F383" s="124" t="s">
        <v>1424</v>
      </c>
      <c r="G383" s="127" t="s">
        <v>82</v>
      </c>
      <c r="H383" s="126" t="s">
        <v>628</v>
      </c>
      <c r="I383" s="126" t="s">
        <v>598</v>
      </c>
      <c r="J383" s="126" t="s">
        <v>888</v>
      </c>
      <c r="K383" s="128" t="s">
        <v>731</v>
      </c>
      <c r="L383" s="121" t="s">
        <v>5</v>
      </c>
      <c r="M383" s="123" t="s">
        <v>706</v>
      </c>
      <c r="N383" s="129">
        <v>44287</v>
      </c>
      <c r="O383" s="129">
        <v>44651</v>
      </c>
      <c r="P383" s="129">
        <v>44651</v>
      </c>
      <c r="Q383" s="323">
        <v>130000</v>
      </c>
      <c r="R383" s="319"/>
      <c r="S383" s="324">
        <v>40000</v>
      </c>
      <c r="T383" s="324"/>
      <c r="U383" s="324">
        <v>65000</v>
      </c>
      <c r="V383" s="324"/>
      <c r="W383" s="324">
        <v>25000</v>
      </c>
      <c r="X383" s="324"/>
      <c r="Y383" s="312">
        <v>130000</v>
      </c>
      <c r="Z383" s="325">
        <v>130000</v>
      </c>
      <c r="AA383" s="325">
        <v>0</v>
      </c>
      <c r="AB383" s="326"/>
      <c r="AC383" s="324">
        <v>50000</v>
      </c>
      <c r="AD383" s="324"/>
      <c r="AE383" s="324">
        <v>48000</v>
      </c>
      <c r="AF383" s="324"/>
      <c r="AG383" s="324">
        <v>20000</v>
      </c>
      <c r="AH383" s="324"/>
      <c r="AI383" s="312">
        <v>118000</v>
      </c>
      <c r="AJ383" s="327">
        <v>118000</v>
      </c>
      <c r="AK383" s="327">
        <v>0</v>
      </c>
      <c r="AL383" s="328"/>
      <c r="AM383" s="324"/>
      <c r="AN383" s="324"/>
      <c r="AO383" s="324"/>
      <c r="AP383" s="324"/>
      <c r="AQ383" s="324"/>
      <c r="AR383" s="324"/>
      <c r="AS383" s="293"/>
      <c r="AT383" s="327"/>
      <c r="AU383" s="327"/>
      <c r="AV383" s="328"/>
      <c r="AW383" s="279"/>
      <c r="AX383" s="279"/>
      <c r="AY383" s="279"/>
      <c r="AZ383" s="279"/>
      <c r="BA383" s="279"/>
      <c r="BB383" s="279"/>
      <c r="BC383" s="293"/>
      <c r="BD383" s="319"/>
      <c r="BE383" s="293"/>
      <c r="BF383" s="319"/>
      <c r="BG383" s="293"/>
      <c r="BH383" s="293"/>
      <c r="BI383" s="337">
        <v>248000</v>
      </c>
      <c r="BJ383" s="338">
        <v>118000</v>
      </c>
      <c r="BK383" s="126"/>
    </row>
    <row r="384" spans="1:65" ht="15.75">
      <c r="AE384" s="91"/>
      <c r="AF384" s="91"/>
      <c r="AG384" s="91"/>
      <c r="AH384" s="91"/>
      <c r="AI384" s="91"/>
      <c r="AJ384" s="91"/>
      <c r="AK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263">
        <v>81452855.600000009</v>
      </c>
      <c r="BM384" s="91"/>
    </row>
    <row r="385" spans="1:65" ht="15.75">
      <c r="R385" s="353"/>
      <c r="AE385" s="91"/>
      <c r="AF385" s="91"/>
      <c r="AG385" s="91"/>
      <c r="AH385" s="91"/>
      <c r="AI385" s="91"/>
      <c r="AJ385" s="91"/>
      <c r="AK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263"/>
      <c r="BM385" s="91"/>
    </row>
    <row r="386" spans="1:65" ht="16.5" thickBot="1">
      <c r="J386" s="91"/>
      <c r="K386" s="91"/>
      <c r="L386" s="91"/>
      <c r="M386" s="258"/>
      <c r="N386" s="260"/>
      <c r="O386" s="260"/>
      <c r="P386" s="238"/>
      <c r="Q386" s="296"/>
      <c r="R386" s="297" t="s">
        <v>1425</v>
      </c>
      <c r="S386" s="354">
        <v>77427059.379999995</v>
      </c>
      <c r="T386" s="354"/>
      <c r="U386" s="355"/>
      <c r="V386" s="356"/>
      <c r="W386" s="356"/>
      <c r="X386" s="356"/>
      <c r="Y386" s="356"/>
      <c r="AA386" s="357"/>
      <c r="AB386" s="357"/>
      <c r="AC386" s="357"/>
      <c r="AD386" s="357"/>
      <c r="AE386" s="91"/>
      <c r="AF386" s="91"/>
      <c r="AG386" s="91"/>
      <c r="AH386" s="91"/>
      <c r="AI386" s="91"/>
      <c r="AJ386" s="91"/>
      <c r="AK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M386" s="357"/>
    </row>
    <row r="387" spans="1:65" ht="16.5" thickBot="1">
      <c r="D387" s="358"/>
      <c r="E387" s="359"/>
      <c r="F387" s="360"/>
      <c r="G387" s="298" t="s">
        <v>12</v>
      </c>
      <c r="H387" s="358"/>
      <c r="I387" s="299"/>
      <c r="J387" s="300"/>
      <c r="K387" s="294"/>
      <c r="L387" s="192"/>
      <c r="M387" s="258"/>
      <c r="N387" s="193"/>
      <c r="O387" s="294"/>
      <c r="P387" s="238"/>
      <c r="Q387" s="296"/>
      <c r="R387" s="290" t="s">
        <v>43</v>
      </c>
      <c r="S387" s="361">
        <v>25806438.891353998</v>
      </c>
      <c r="V387" s="356"/>
      <c r="W387" s="356"/>
      <c r="X387" s="356"/>
      <c r="AB387" s="357"/>
      <c r="AC387" s="357"/>
      <c r="AD387" s="357"/>
      <c r="AE387" s="91"/>
      <c r="AF387" s="91"/>
      <c r="AG387" s="91"/>
      <c r="AH387" s="91"/>
      <c r="AI387" s="91"/>
      <c r="AJ387" s="91"/>
      <c r="AK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Y387" s="91"/>
      <c r="AZ387" s="91"/>
      <c r="BA387" s="91"/>
      <c r="BB387" s="91"/>
      <c r="BC387" s="91"/>
      <c r="BD387" s="91"/>
      <c r="BE387" s="329"/>
      <c r="BF387" s="329"/>
      <c r="BG387" s="329"/>
      <c r="BH387" s="329"/>
      <c r="BI387" s="329"/>
      <c r="BJ387" s="329"/>
      <c r="BK387" s="263">
        <v>962192</v>
      </c>
      <c r="BM387" s="357"/>
    </row>
    <row r="388" spans="1:65" ht="15.75">
      <c r="D388" s="91"/>
      <c r="E388" s="192"/>
      <c r="F388" s="258"/>
      <c r="G388" s="301"/>
      <c r="I388" s="193"/>
      <c r="J388" s="302"/>
      <c r="K388" s="294"/>
      <c r="L388" s="192"/>
      <c r="M388" s="258"/>
      <c r="N388" s="193"/>
      <c r="O388" s="294"/>
      <c r="P388" s="238"/>
      <c r="Q388" s="296"/>
      <c r="S388" s="357">
        <v>103233498.29135399</v>
      </c>
      <c r="V388" s="356"/>
      <c r="W388" s="356"/>
      <c r="X388" s="356"/>
      <c r="AB388" s="357"/>
      <c r="AC388" s="357"/>
      <c r="AD388" s="357"/>
      <c r="AE388" s="91"/>
      <c r="AF388" s="91"/>
      <c r="AG388" s="91"/>
      <c r="AH388" s="91"/>
      <c r="AI388" s="91"/>
      <c r="AJ388" s="91"/>
      <c r="AK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263"/>
      <c r="BM388" s="357"/>
    </row>
    <row r="389" spans="1:65" ht="15.75">
      <c r="D389" s="238"/>
      <c r="E389" s="238"/>
      <c r="F389" s="238"/>
      <c r="G389" s="301" t="s">
        <v>1426</v>
      </c>
      <c r="H389" s="238" t="s">
        <v>1427</v>
      </c>
      <c r="I389" s="238"/>
      <c r="J389" s="362"/>
      <c r="K389" s="238"/>
      <c r="L389" s="192"/>
      <c r="M389" s="363"/>
      <c r="N389" s="193"/>
      <c r="O389" s="294"/>
      <c r="P389" s="364"/>
      <c r="Q389" s="238"/>
      <c r="R389" s="238"/>
      <c r="S389" s="365"/>
      <c r="T389" s="366"/>
      <c r="U389" s="367"/>
      <c r="V389" s="356"/>
      <c r="W389" s="356"/>
      <c r="X389" s="356"/>
      <c r="AB389" s="357"/>
      <c r="AC389" s="357"/>
      <c r="AD389" s="357"/>
      <c r="AE389" s="91"/>
      <c r="AF389" s="91"/>
      <c r="AG389" s="91"/>
      <c r="AH389" s="91"/>
      <c r="AI389" s="91"/>
      <c r="AJ389" s="91"/>
      <c r="AK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M389" s="357"/>
    </row>
    <row r="390" spans="1:65" ht="16.5" thickBot="1">
      <c r="D390" s="368"/>
      <c r="E390" s="369"/>
      <c r="F390" s="370"/>
      <c r="G390" s="303"/>
      <c r="H390" s="368"/>
      <c r="I390" s="304"/>
      <c r="J390" s="305"/>
      <c r="K390" s="294"/>
      <c r="L390" s="192"/>
      <c r="M390" s="258"/>
      <c r="N390" s="193"/>
      <c r="O390" s="294"/>
      <c r="P390" s="364"/>
      <c r="Q390" s="193"/>
      <c r="R390" s="306"/>
      <c r="S390" s="366"/>
      <c r="T390" s="366"/>
      <c r="U390" s="367"/>
      <c r="V390" s="356"/>
      <c r="W390" s="356"/>
      <c r="X390" s="356"/>
      <c r="Y390" s="356"/>
      <c r="Z390" s="285"/>
      <c r="AA390" s="357"/>
      <c r="AB390" s="357"/>
      <c r="AC390" s="357"/>
      <c r="AD390" s="357"/>
      <c r="AE390" s="91"/>
      <c r="AF390" s="91"/>
      <c r="AG390" s="91"/>
      <c r="AH390" s="286"/>
      <c r="AI390" s="286"/>
      <c r="AJ390" s="286"/>
      <c r="AK390" s="261"/>
      <c r="AL390" s="371"/>
      <c r="AO390" s="91"/>
      <c r="AP390" s="91"/>
      <c r="AQ390" s="91"/>
      <c r="AR390" s="91"/>
      <c r="AS390" s="91"/>
      <c r="AT390" s="91"/>
      <c r="AU390" s="91"/>
      <c r="AV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M390" s="357"/>
    </row>
    <row r="391" spans="1:65" ht="15.75">
      <c r="D391" s="91"/>
      <c r="E391" s="192"/>
      <c r="F391" s="91"/>
      <c r="G391" s="238"/>
      <c r="H391" s="91"/>
      <c r="I391" s="238"/>
      <c r="J391" s="307"/>
      <c r="K391" s="307"/>
      <c r="L391" s="192"/>
      <c r="M391" s="258"/>
      <c r="N391" s="193"/>
      <c r="O391" s="294"/>
      <c r="P391" s="238"/>
      <c r="Q391" s="296"/>
      <c r="R391" s="238"/>
      <c r="S391" s="367"/>
      <c r="T391" s="366"/>
      <c r="U391" s="366"/>
      <c r="V391" s="372"/>
      <c r="Y391" s="356"/>
      <c r="AA391" s="357"/>
      <c r="AB391" s="357"/>
      <c r="AC391" s="355"/>
      <c r="AD391" s="355"/>
      <c r="AE391" s="91"/>
      <c r="AF391" s="91"/>
      <c r="AG391" s="91"/>
      <c r="AH391" s="91"/>
      <c r="AI391" s="91"/>
      <c r="AJ391" s="91"/>
      <c r="AK391" s="286"/>
      <c r="AL391" s="286"/>
      <c r="AM391" s="287"/>
      <c r="AN391" s="287"/>
      <c r="AQ391" s="261"/>
      <c r="AR391" s="261"/>
      <c r="AS391" s="371"/>
      <c r="AT391" s="91"/>
      <c r="AU391" s="91"/>
      <c r="AV391" s="91"/>
      <c r="BA391" s="261"/>
      <c r="BB391" s="371"/>
      <c r="BC391" s="371"/>
      <c r="BD391" s="91"/>
      <c r="BE391" s="91"/>
      <c r="BF391" s="91"/>
      <c r="BG391" s="91"/>
      <c r="BH391" s="91"/>
      <c r="BI391" s="91"/>
      <c r="BJ391" s="91"/>
      <c r="BM391" s="355"/>
    </row>
    <row r="392" spans="1:65" ht="15.75">
      <c r="P392" s="238"/>
      <c r="Q392" s="258"/>
      <c r="R392" s="373"/>
      <c r="AE392" s="91"/>
      <c r="AF392" s="91"/>
      <c r="AG392" s="91"/>
      <c r="AH392" s="91"/>
      <c r="AI392" s="91"/>
      <c r="AJ392" s="91"/>
      <c r="AK392" s="91"/>
      <c r="AO392" s="91"/>
      <c r="AP392" s="91"/>
      <c r="AQ392" s="91"/>
      <c r="AR392" s="91"/>
      <c r="AS392" s="91"/>
      <c r="AT392" s="91"/>
      <c r="AU392" s="91"/>
      <c r="AV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</row>
    <row r="393" spans="1:65" ht="15.75">
      <c r="P393" s="193"/>
      <c r="Q393" s="238"/>
      <c r="R393" s="238"/>
      <c r="AE393" s="91"/>
      <c r="AF393" s="91"/>
      <c r="AG393" s="91"/>
      <c r="AH393" s="91"/>
      <c r="AI393" s="91"/>
      <c r="AJ393" s="91"/>
      <c r="AK393" s="91"/>
      <c r="AO393" s="91"/>
      <c r="AP393" s="91"/>
      <c r="AQ393" s="91"/>
      <c r="AR393" s="91"/>
      <c r="AS393" s="91"/>
      <c r="AT393" s="91"/>
      <c r="AU393" s="329">
        <v>348775</v>
      </c>
      <c r="AV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263"/>
    </row>
    <row r="394" spans="1:65" ht="15.75">
      <c r="E394" s="91"/>
      <c r="F394" s="126"/>
      <c r="P394" s="238"/>
      <c r="Q394" s="238"/>
      <c r="R394" s="238"/>
      <c r="AG394" s="374"/>
      <c r="AH394" s="91"/>
      <c r="AI394" s="91"/>
      <c r="AJ394" s="91"/>
      <c r="AK394" s="289"/>
      <c r="AL394" s="286"/>
      <c r="AM394" s="287"/>
      <c r="AN394" s="287"/>
      <c r="AQ394" s="261"/>
      <c r="AR394" s="261"/>
      <c r="AS394" s="371"/>
      <c r="AT394" s="91"/>
      <c r="AU394" s="91"/>
      <c r="AV394" s="91"/>
      <c r="BA394" s="261"/>
      <c r="BB394" s="371"/>
      <c r="BC394" s="371"/>
      <c r="BD394" s="91"/>
      <c r="BE394" s="91"/>
      <c r="BF394" s="91"/>
      <c r="BG394" s="91"/>
      <c r="BH394" s="91"/>
      <c r="BI394" s="91"/>
      <c r="BJ394" s="91"/>
    </row>
    <row r="395" spans="1:65" ht="15.75">
      <c r="E395" s="91"/>
      <c r="P395" s="238"/>
      <c r="Q395" s="238"/>
      <c r="R395" s="238"/>
      <c r="AG395" s="374"/>
      <c r="AH395" s="91"/>
      <c r="AI395" s="91"/>
      <c r="AJ395" s="91"/>
      <c r="AK395" s="286"/>
      <c r="AL395" s="286"/>
      <c r="AM395" s="287"/>
      <c r="AN395" s="287"/>
      <c r="AQ395" s="261"/>
      <c r="AR395" s="261"/>
      <c r="AS395" s="371"/>
      <c r="AT395" s="91"/>
      <c r="AU395" s="91"/>
      <c r="AV395" s="91"/>
      <c r="BA395" s="261"/>
      <c r="BB395" s="371"/>
      <c r="BC395" s="371"/>
      <c r="BD395" s="91"/>
      <c r="BE395" s="91"/>
      <c r="BF395" s="91"/>
      <c r="BG395" s="91"/>
      <c r="BH395" s="91"/>
      <c r="BI395" s="91"/>
      <c r="BJ395" s="91"/>
    </row>
    <row r="396" spans="1:65" ht="15.75">
      <c r="P396" s="238"/>
      <c r="Q396" s="238"/>
      <c r="R396" s="238"/>
      <c r="AG396" s="374"/>
      <c r="AH396" s="91"/>
      <c r="AI396" s="91"/>
      <c r="AJ396" s="91"/>
      <c r="AK396" s="286"/>
      <c r="AL396" s="286"/>
      <c r="AM396" s="287"/>
      <c r="AN396" s="287"/>
      <c r="AQ396" s="261"/>
      <c r="AR396" s="261"/>
      <c r="AS396" s="371"/>
      <c r="AT396" s="91"/>
      <c r="AU396" s="91"/>
      <c r="AV396" s="91"/>
      <c r="BA396" s="261"/>
      <c r="BB396" s="371"/>
      <c r="BC396" s="371"/>
      <c r="BD396" s="91"/>
      <c r="BE396" s="91"/>
      <c r="BF396" s="91"/>
      <c r="BG396" s="91"/>
      <c r="BH396" s="91"/>
      <c r="BI396" s="91"/>
      <c r="BJ396" s="91"/>
    </row>
    <row r="397" spans="1:65" ht="15.75">
      <c r="A397" s="238"/>
      <c r="D397" s="91"/>
      <c r="E397" s="91"/>
      <c r="G397" s="238"/>
      <c r="H397" s="91"/>
      <c r="P397" s="238"/>
      <c r="Q397" s="238"/>
      <c r="R397" s="238"/>
      <c r="AG397" s="374"/>
      <c r="AH397" s="91"/>
      <c r="AI397" s="91"/>
      <c r="AJ397" s="91"/>
      <c r="AK397" s="289">
        <v>274630</v>
      </c>
      <c r="AL397" s="286"/>
      <c r="AM397" s="287"/>
      <c r="AN397" s="287"/>
      <c r="AQ397" s="261"/>
      <c r="AR397" s="261"/>
      <c r="AS397" s="371"/>
      <c r="AT397" s="91"/>
      <c r="AU397" s="91"/>
      <c r="AV397" s="91"/>
      <c r="BA397" s="261"/>
      <c r="BB397" s="371"/>
      <c r="BC397" s="371"/>
      <c r="BD397" s="91"/>
      <c r="BE397" s="91"/>
      <c r="BF397" s="91"/>
      <c r="BG397" s="91"/>
      <c r="BH397" s="91"/>
      <c r="BI397" s="91"/>
      <c r="BJ397" s="91"/>
    </row>
    <row r="398" spans="1:65" ht="15.75">
      <c r="A398" s="238"/>
      <c r="D398" s="91"/>
      <c r="E398" s="91"/>
      <c r="G398" s="238"/>
      <c r="H398" s="91"/>
      <c r="P398" s="238"/>
      <c r="Q398" s="238"/>
      <c r="R398" s="238"/>
      <c r="AG398" s="374"/>
      <c r="AH398" s="91"/>
      <c r="AI398" s="91"/>
      <c r="AJ398" s="91"/>
      <c r="AK398" s="286"/>
      <c r="AL398" s="286"/>
      <c r="AM398" s="287"/>
      <c r="AN398" s="287"/>
      <c r="AQ398" s="261"/>
      <c r="AR398" s="261"/>
      <c r="AS398" s="371"/>
      <c r="AT398" s="91"/>
      <c r="AU398" s="91"/>
      <c r="AV398" s="91"/>
      <c r="BA398" s="261"/>
      <c r="BB398" s="371"/>
      <c r="BC398" s="371"/>
      <c r="BD398" s="91"/>
      <c r="BE398" s="91"/>
      <c r="BF398" s="91"/>
      <c r="BG398" s="91"/>
      <c r="BH398" s="91"/>
      <c r="BI398" s="91"/>
      <c r="BJ398" s="91"/>
    </row>
    <row r="399" spans="1:65" ht="15.75">
      <c r="A399" s="238"/>
      <c r="D399" s="91"/>
      <c r="E399" s="91"/>
      <c r="G399" s="238"/>
      <c r="H399" s="91"/>
      <c r="P399" s="238"/>
      <c r="Q399" s="375"/>
      <c r="R399" s="290"/>
      <c r="AG399" s="374"/>
      <c r="AH399" s="91"/>
      <c r="AI399" s="91"/>
      <c r="AJ399" s="91"/>
      <c r="AK399" s="286"/>
      <c r="AL399" s="286"/>
      <c r="AM399" s="287"/>
      <c r="AN399" s="287"/>
      <c r="AQ399" s="261"/>
      <c r="AR399" s="261"/>
      <c r="AS399" s="371"/>
      <c r="AT399" s="91"/>
      <c r="AU399" s="91"/>
      <c r="AV399" s="91"/>
      <c r="BA399" s="261"/>
      <c r="BB399" s="371"/>
      <c r="BC399" s="371"/>
      <c r="BD399" s="91"/>
      <c r="BE399" s="91"/>
      <c r="BF399" s="91"/>
      <c r="BG399" s="91"/>
      <c r="BH399" s="91"/>
      <c r="BI399" s="91"/>
      <c r="BJ399" s="91"/>
    </row>
    <row r="400" spans="1:65" ht="15.75">
      <c r="A400" s="238"/>
      <c r="D400" s="91"/>
      <c r="E400" s="91"/>
      <c r="G400" s="238"/>
      <c r="H400" s="91"/>
      <c r="P400" s="238"/>
      <c r="Q400" s="375"/>
      <c r="R400" s="290"/>
      <c r="AG400" s="374"/>
      <c r="AH400" s="91"/>
      <c r="AI400" s="91"/>
      <c r="AJ400" s="91"/>
      <c r="AK400" s="286"/>
      <c r="AL400" s="286"/>
      <c r="AM400" s="287"/>
      <c r="AN400" s="287"/>
      <c r="AQ400" s="261"/>
      <c r="AR400" s="261"/>
      <c r="AS400" s="371"/>
      <c r="AT400" s="91"/>
      <c r="AU400" s="91"/>
      <c r="AV400" s="91"/>
      <c r="BA400" s="261"/>
      <c r="BB400" s="371"/>
      <c r="BC400" s="371"/>
      <c r="BD400" s="91"/>
      <c r="BE400" s="91"/>
      <c r="BF400" s="91"/>
      <c r="BG400" s="91"/>
      <c r="BH400" s="91"/>
      <c r="BI400" s="91"/>
      <c r="BJ400" s="91"/>
    </row>
    <row r="401" spans="1:65" ht="15.75">
      <c r="A401" s="308"/>
      <c r="D401" s="91"/>
      <c r="E401" s="373"/>
      <c r="G401" s="193"/>
      <c r="H401" s="238"/>
      <c r="P401" s="238"/>
      <c r="Q401" s="375"/>
      <c r="R401" s="290"/>
      <c r="AG401" s="374"/>
      <c r="AH401" s="91"/>
      <c r="AI401" s="91"/>
      <c r="AJ401" s="91"/>
      <c r="AK401" s="286"/>
      <c r="AL401" s="286"/>
      <c r="AM401" s="287"/>
      <c r="AN401" s="287"/>
      <c r="AQ401" s="261"/>
      <c r="AR401" s="261"/>
      <c r="AS401" s="371"/>
      <c r="AT401" s="91"/>
      <c r="AU401" s="91"/>
      <c r="AV401" s="91"/>
      <c r="BA401" s="261"/>
      <c r="BB401" s="371"/>
      <c r="BC401" s="371"/>
      <c r="BD401" s="91"/>
      <c r="BE401" s="91"/>
      <c r="BF401" s="91"/>
      <c r="BG401" s="91"/>
      <c r="BH401" s="91"/>
      <c r="BI401" s="91"/>
      <c r="BJ401" s="91"/>
    </row>
    <row r="402" spans="1:65" ht="15.75">
      <c r="A402" s="238"/>
      <c r="D402" s="91"/>
      <c r="E402" s="91"/>
      <c r="G402" s="238"/>
      <c r="H402" s="91"/>
      <c r="P402" s="238"/>
      <c r="Q402" s="375"/>
      <c r="R402" s="290"/>
      <c r="AG402" s="374"/>
      <c r="AH402" s="91"/>
      <c r="AI402" s="91"/>
      <c r="AJ402" s="91"/>
      <c r="AK402" s="286"/>
      <c r="AL402" s="286"/>
      <c r="AM402" s="287"/>
      <c r="AN402" s="287"/>
      <c r="AQ402" s="261"/>
      <c r="AR402" s="261"/>
      <c r="AS402" s="371"/>
      <c r="AT402" s="91"/>
      <c r="AU402" s="91"/>
      <c r="AV402" s="91"/>
      <c r="BA402" s="261"/>
      <c r="BB402" s="371"/>
      <c r="BC402" s="371"/>
      <c r="BD402" s="91"/>
      <c r="BE402" s="91"/>
      <c r="BF402" s="91"/>
      <c r="BG402" s="91"/>
      <c r="BH402" s="91"/>
      <c r="BI402" s="91"/>
      <c r="BJ402" s="91"/>
    </row>
    <row r="403" spans="1:65" ht="15.75">
      <c r="A403" s="238"/>
      <c r="D403" s="91"/>
      <c r="E403" s="91"/>
      <c r="G403" s="238"/>
      <c r="H403" s="91"/>
      <c r="P403" s="238"/>
      <c r="Q403" s="375"/>
      <c r="R403" s="290"/>
      <c r="AG403" s="374"/>
      <c r="AH403" s="91"/>
      <c r="AI403" s="91"/>
      <c r="AJ403" s="91"/>
      <c r="AK403" s="286"/>
      <c r="AL403" s="286"/>
      <c r="AM403" s="287"/>
      <c r="AN403" s="287"/>
      <c r="AQ403" s="261"/>
      <c r="AR403" s="261"/>
      <c r="AS403" s="371"/>
      <c r="AT403" s="91"/>
      <c r="AU403" s="91"/>
      <c r="AV403" s="91"/>
      <c r="BA403" s="261"/>
      <c r="BB403" s="371"/>
      <c r="BC403" s="371"/>
      <c r="BD403" s="91"/>
      <c r="BE403" s="91"/>
      <c r="BF403" s="91"/>
      <c r="BG403" s="91"/>
      <c r="BH403" s="91"/>
      <c r="BI403" s="91"/>
      <c r="BJ403" s="91"/>
    </row>
    <row r="404" spans="1:65" ht="15.75">
      <c r="A404" s="238"/>
      <c r="D404" s="91"/>
      <c r="E404" s="91"/>
      <c r="G404" s="238"/>
      <c r="H404" s="91"/>
      <c r="P404" s="238"/>
      <c r="Q404" s="375"/>
      <c r="R404" s="290"/>
      <c r="AG404" s="374"/>
      <c r="AH404" s="91"/>
      <c r="AI404" s="91"/>
      <c r="AJ404" s="91"/>
      <c r="AK404" s="286"/>
      <c r="AL404" s="286"/>
      <c r="AM404" s="287"/>
      <c r="AN404" s="287"/>
      <c r="AQ404" s="261"/>
      <c r="AR404" s="261"/>
      <c r="AS404" s="371"/>
      <c r="AT404" s="91"/>
      <c r="AU404" s="91"/>
      <c r="AV404" s="91"/>
      <c r="BA404" s="261"/>
      <c r="BB404" s="371"/>
      <c r="BC404" s="371"/>
      <c r="BD404" s="91"/>
      <c r="BE404" s="91"/>
      <c r="BF404" s="91"/>
      <c r="BG404" s="91"/>
      <c r="BH404" s="91"/>
      <c r="BI404" s="91"/>
      <c r="BJ404" s="91"/>
    </row>
    <row r="405" spans="1:65" ht="15.75">
      <c r="D405" s="91"/>
      <c r="E405" s="91"/>
      <c r="F405" s="238"/>
      <c r="G405" s="238"/>
      <c r="H405" s="91"/>
      <c r="I405" s="91"/>
      <c r="J405" s="91"/>
      <c r="K405" s="91"/>
      <c r="L405" s="192"/>
      <c r="M405" s="258"/>
      <c r="N405" s="193"/>
      <c r="O405" s="294"/>
      <c r="P405" s="238"/>
      <c r="Q405" s="375"/>
      <c r="R405" s="290"/>
      <c r="AG405" s="374"/>
      <c r="AH405" s="91"/>
      <c r="AI405" s="91"/>
      <c r="AJ405" s="91"/>
      <c r="AK405" s="286"/>
      <c r="AL405" s="286"/>
      <c r="AM405" s="287"/>
      <c r="AN405" s="287"/>
      <c r="AQ405" s="261"/>
      <c r="AR405" s="261"/>
      <c r="AS405" s="371"/>
      <c r="AT405" s="91"/>
      <c r="AU405" s="91"/>
      <c r="AV405" s="91"/>
      <c r="BA405" s="261"/>
      <c r="BB405" s="371"/>
      <c r="BC405" s="371"/>
      <c r="BD405" s="91"/>
      <c r="BE405" s="91"/>
      <c r="BF405" s="91"/>
      <c r="BG405" s="91"/>
      <c r="BH405" s="91"/>
      <c r="BI405" s="91"/>
      <c r="BJ405" s="91"/>
    </row>
    <row r="406" spans="1:65" ht="15.75">
      <c r="D406" s="91"/>
      <c r="E406" s="91"/>
      <c r="F406" s="238"/>
      <c r="G406" s="238"/>
      <c r="H406" s="91"/>
      <c r="I406" s="91"/>
      <c r="J406" s="91"/>
      <c r="K406" s="91"/>
      <c r="L406" s="192"/>
      <c r="M406" s="258"/>
      <c r="N406" s="193"/>
      <c r="O406" s="294"/>
      <c r="P406" s="238"/>
      <c r="Q406" s="375"/>
      <c r="R406" s="290"/>
      <c r="AG406" s="374"/>
      <c r="AH406" s="91"/>
      <c r="AI406" s="91"/>
      <c r="AJ406" s="91"/>
      <c r="AK406" s="286"/>
      <c r="AL406" s="286"/>
      <c r="AM406" s="287"/>
      <c r="AN406" s="287"/>
      <c r="AQ406" s="261"/>
      <c r="AR406" s="261"/>
      <c r="AS406" s="371"/>
      <c r="AT406" s="91"/>
      <c r="AU406" s="91"/>
      <c r="AV406" s="91"/>
      <c r="BA406" s="261"/>
      <c r="BB406" s="371"/>
      <c r="BC406" s="371"/>
      <c r="BD406" s="91"/>
      <c r="BE406" s="91"/>
      <c r="BF406" s="91"/>
      <c r="BG406" s="91"/>
      <c r="BH406" s="91"/>
      <c r="BI406" s="91"/>
      <c r="BJ406" s="91"/>
    </row>
    <row r="407" spans="1:65" ht="15.75">
      <c r="D407" s="91"/>
      <c r="E407" s="91"/>
      <c r="F407" s="238"/>
      <c r="G407" s="238"/>
      <c r="H407" s="91"/>
      <c r="I407" s="91"/>
      <c r="J407" s="91"/>
      <c r="K407" s="91"/>
      <c r="L407" s="192"/>
      <c r="M407" s="258"/>
      <c r="N407" s="193"/>
      <c r="O407" s="294"/>
      <c r="P407" s="238"/>
      <c r="Q407" s="375"/>
      <c r="R407" s="290"/>
      <c r="AG407" s="374"/>
      <c r="AH407" s="91"/>
      <c r="AI407" s="91"/>
      <c r="AJ407" s="91"/>
      <c r="AK407" s="286"/>
      <c r="AL407" s="286"/>
      <c r="AM407" s="287"/>
      <c r="AN407" s="287"/>
      <c r="AQ407" s="261"/>
      <c r="AR407" s="261"/>
      <c r="AS407" s="371"/>
      <c r="AT407" s="91"/>
      <c r="AU407" s="91"/>
      <c r="AV407" s="91"/>
      <c r="BA407" s="261"/>
      <c r="BB407" s="371"/>
      <c r="BC407" s="371"/>
      <c r="BD407" s="91"/>
      <c r="BE407" s="91"/>
      <c r="BF407" s="91"/>
      <c r="BG407" s="91"/>
      <c r="BH407" s="91"/>
      <c r="BI407" s="91"/>
      <c r="BJ407" s="91"/>
    </row>
    <row r="408" spans="1:65" ht="15.75">
      <c r="A408" s="240"/>
      <c r="D408" s="366"/>
      <c r="E408" s="373"/>
      <c r="F408" s="238"/>
      <c r="G408" s="238"/>
      <c r="H408" s="366"/>
      <c r="I408" s="91"/>
      <c r="J408" s="91"/>
      <c r="K408" s="91"/>
      <c r="L408" s="192"/>
      <c r="M408" s="258"/>
      <c r="N408" s="193"/>
      <c r="O408" s="294"/>
      <c r="P408" s="238"/>
      <c r="Q408" s="375"/>
      <c r="R408" s="290"/>
      <c r="AG408" s="374"/>
      <c r="AH408" s="91"/>
      <c r="AI408" s="91"/>
      <c r="AJ408" s="91"/>
      <c r="AK408" s="286"/>
      <c r="AL408" s="286"/>
      <c r="AM408" s="287"/>
      <c r="AN408" s="287"/>
      <c r="AQ408" s="261"/>
      <c r="AR408" s="261"/>
      <c r="AS408" s="371"/>
      <c r="AT408" s="91"/>
      <c r="AU408" s="91"/>
      <c r="AV408" s="91"/>
      <c r="BA408" s="261"/>
      <c r="BB408" s="371"/>
      <c r="BC408" s="371"/>
      <c r="BD408" s="91"/>
      <c r="BE408" s="91"/>
      <c r="BF408" s="91"/>
      <c r="BG408" s="91"/>
      <c r="BH408" s="91"/>
      <c r="BI408" s="91"/>
      <c r="BJ408" s="91"/>
    </row>
    <row r="409" spans="1:65" ht="15.75">
      <c r="A409" s="364"/>
      <c r="D409" s="238"/>
      <c r="E409" s="373"/>
      <c r="F409" s="238"/>
      <c r="G409" s="309"/>
      <c r="H409" s="366"/>
      <c r="I409" s="91"/>
      <c r="J409" s="91"/>
      <c r="K409" s="91"/>
      <c r="L409" s="192"/>
      <c r="M409" s="258"/>
      <c r="N409" s="193"/>
      <c r="O409" s="294"/>
      <c r="P409" s="193"/>
      <c r="Q409" s="295"/>
      <c r="R409" s="91"/>
      <c r="AG409" s="374"/>
      <c r="AH409" s="91"/>
      <c r="AI409" s="91"/>
      <c r="AJ409" s="91"/>
      <c r="AK409" s="286"/>
      <c r="AL409" s="286"/>
      <c r="AM409" s="287"/>
      <c r="AN409" s="287"/>
      <c r="AQ409" s="261"/>
      <c r="AR409" s="261"/>
      <c r="AS409" s="371"/>
      <c r="AT409" s="91"/>
      <c r="AU409" s="91"/>
      <c r="AV409" s="91"/>
      <c r="BA409" s="261"/>
      <c r="BB409" s="371"/>
      <c r="BC409" s="371"/>
      <c r="BD409" s="91"/>
      <c r="BE409" s="91"/>
      <c r="BF409" s="91"/>
      <c r="BG409" s="91"/>
      <c r="BH409" s="91"/>
      <c r="BI409" s="91"/>
      <c r="BJ409" s="91"/>
    </row>
    <row r="410" spans="1:65" ht="15.75">
      <c r="A410" s="364"/>
      <c r="D410" s="238"/>
      <c r="E410" s="373"/>
      <c r="F410" s="238"/>
      <c r="G410" s="309"/>
      <c r="H410" s="366"/>
      <c r="I410" s="91"/>
      <c r="J410" s="91"/>
      <c r="K410" s="91"/>
      <c r="L410" s="192"/>
      <c r="M410" s="258"/>
      <c r="N410" s="193"/>
      <c r="O410" s="294"/>
      <c r="P410" s="193"/>
      <c r="Q410" s="295"/>
      <c r="R410" s="91"/>
      <c r="AG410" s="374"/>
      <c r="AH410" s="91"/>
      <c r="AI410" s="91"/>
      <c r="AJ410" s="91"/>
      <c r="AK410" s="286"/>
      <c r="AL410" s="286"/>
      <c r="AM410" s="287"/>
      <c r="AN410" s="287"/>
      <c r="AQ410" s="261"/>
      <c r="AR410" s="261"/>
      <c r="AS410" s="371"/>
      <c r="AT410" s="91"/>
      <c r="AU410" s="91"/>
      <c r="AV410" s="91"/>
      <c r="BA410" s="261"/>
      <c r="BB410" s="371"/>
      <c r="BC410" s="371"/>
      <c r="BD410" s="91"/>
      <c r="BE410" s="91"/>
      <c r="BF410" s="91"/>
      <c r="BG410" s="91"/>
      <c r="BH410" s="91"/>
      <c r="BI410" s="91"/>
      <c r="BJ410" s="91"/>
    </row>
    <row r="411" spans="1:65" ht="15.75">
      <c r="A411" s="364"/>
      <c r="D411" s="91"/>
      <c r="E411" s="373"/>
      <c r="F411" s="238"/>
      <c r="G411" s="238"/>
      <c r="H411" s="238"/>
      <c r="I411" s="91"/>
      <c r="J411" s="91"/>
      <c r="K411" s="91"/>
      <c r="L411" s="192"/>
      <c r="M411" s="258"/>
      <c r="N411" s="193"/>
      <c r="O411" s="294"/>
      <c r="P411" s="193"/>
      <c r="Q411" s="295"/>
      <c r="R411" s="91"/>
      <c r="AG411" s="374"/>
      <c r="AH411" s="91"/>
      <c r="AI411" s="91"/>
      <c r="AJ411" s="91"/>
      <c r="AK411" s="286"/>
      <c r="AL411" s="286"/>
      <c r="AM411" s="287"/>
      <c r="AN411" s="287"/>
      <c r="AQ411" s="261"/>
      <c r="AR411" s="261"/>
      <c r="AS411" s="371"/>
      <c r="AT411" s="91"/>
      <c r="AU411" s="91"/>
      <c r="AV411" s="91"/>
      <c r="BA411" s="261"/>
      <c r="BB411" s="371"/>
      <c r="BC411" s="371"/>
      <c r="BD411" s="91"/>
      <c r="BE411" s="91"/>
      <c r="BF411" s="91"/>
      <c r="BG411" s="91"/>
      <c r="BH411" s="91"/>
      <c r="BI411" s="91"/>
      <c r="BJ411" s="91"/>
    </row>
    <row r="412" spans="1:65" ht="15.75">
      <c r="A412" s="364"/>
      <c r="D412" s="91"/>
      <c r="E412" s="373"/>
      <c r="F412" s="238"/>
      <c r="G412" s="238"/>
      <c r="H412" s="238"/>
      <c r="I412" s="91"/>
      <c r="J412" s="91"/>
      <c r="K412" s="91"/>
      <c r="L412" s="192"/>
      <c r="M412" s="258"/>
      <c r="N412" s="193"/>
      <c r="O412" s="294"/>
      <c r="P412" s="193"/>
      <c r="Q412" s="295"/>
      <c r="R412" s="91"/>
      <c r="AG412" s="374"/>
      <c r="AH412" s="91"/>
      <c r="AI412" s="91"/>
      <c r="AJ412" s="91"/>
      <c r="AK412" s="286"/>
      <c r="AL412" s="286"/>
      <c r="AM412" s="287"/>
      <c r="AN412" s="287"/>
      <c r="AQ412" s="261"/>
      <c r="AR412" s="261"/>
      <c r="AS412" s="371"/>
      <c r="AT412" s="91"/>
      <c r="AU412" s="91"/>
      <c r="AV412" s="91"/>
      <c r="BA412" s="261"/>
      <c r="BB412" s="371"/>
      <c r="BC412" s="371"/>
      <c r="BD412" s="91"/>
      <c r="BE412" s="91"/>
      <c r="BF412" s="91"/>
      <c r="BG412" s="91"/>
      <c r="BH412" s="91"/>
      <c r="BI412" s="91"/>
      <c r="BJ412" s="91"/>
    </row>
    <row r="413" spans="1:65" ht="15.75">
      <c r="D413" s="91"/>
      <c r="E413" s="91"/>
      <c r="F413" s="238"/>
      <c r="G413" s="238"/>
      <c r="H413" s="91"/>
      <c r="I413" s="91"/>
      <c r="J413" s="91"/>
      <c r="K413" s="91"/>
      <c r="L413" s="192"/>
      <c r="M413" s="258"/>
      <c r="N413" s="193"/>
      <c r="O413" s="294"/>
      <c r="P413" s="193"/>
      <c r="Q413" s="295"/>
      <c r="R413" s="91"/>
      <c r="AG413" s="374"/>
      <c r="AH413" s="91"/>
      <c r="AI413" s="91"/>
      <c r="AJ413" s="91"/>
      <c r="AK413" s="286"/>
      <c r="AL413" s="286"/>
      <c r="AM413" s="287"/>
      <c r="AN413" s="287"/>
      <c r="AQ413" s="261"/>
      <c r="AR413" s="261"/>
      <c r="AS413" s="371"/>
      <c r="AT413" s="91"/>
      <c r="AU413" s="91"/>
      <c r="AV413" s="91"/>
      <c r="BA413" s="261"/>
      <c r="BB413" s="371"/>
      <c r="BC413" s="371"/>
      <c r="BD413" s="91"/>
      <c r="BE413" s="91"/>
      <c r="BF413" s="91"/>
      <c r="BG413" s="91"/>
      <c r="BH413" s="91"/>
      <c r="BI413" s="91"/>
      <c r="BJ413" s="91"/>
    </row>
    <row r="414" spans="1:65" ht="15.75">
      <c r="A414" s="238"/>
      <c r="D414" s="91"/>
      <c r="E414" s="91"/>
      <c r="F414" s="238"/>
      <c r="G414" s="238"/>
      <c r="H414" s="91"/>
      <c r="I414" s="91"/>
      <c r="J414" s="91"/>
      <c r="K414" s="91"/>
      <c r="L414" s="192"/>
      <c r="M414" s="258"/>
      <c r="N414" s="193"/>
      <c r="O414" s="294"/>
      <c r="P414" s="193"/>
      <c r="Q414" s="295"/>
      <c r="R414" s="91"/>
      <c r="S414" s="91"/>
      <c r="T414" s="91"/>
      <c r="U414" s="91"/>
      <c r="V414" s="91"/>
      <c r="W414" s="356"/>
      <c r="X414" s="356"/>
      <c r="Y414" s="356"/>
      <c r="AA414" s="357"/>
      <c r="AB414" s="357"/>
      <c r="AC414" s="357"/>
      <c r="AD414" s="357"/>
      <c r="AG414" s="374"/>
      <c r="AH414" s="91"/>
      <c r="AI414" s="91"/>
      <c r="AJ414" s="91"/>
      <c r="AK414" s="286"/>
      <c r="AL414" s="286"/>
      <c r="AM414" s="287"/>
      <c r="AN414" s="287"/>
      <c r="AQ414" s="261"/>
      <c r="AR414" s="261"/>
      <c r="AS414" s="371"/>
      <c r="AT414" s="91"/>
      <c r="AU414" s="91"/>
      <c r="AV414" s="91"/>
      <c r="BA414" s="261"/>
      <c r="BB414" s="371"/>
      <c r="BC414" s="371"/>
      <c r="BD414" s="91"/>
      <c r="BE414" s="91"/>
      <c r="BF414" s="91"/>
      <c r="BG414" s="91"/>
      <c r="BH414" s="91"/>
      <c r="BI414" s="91"/>
      <c r="BJ414" s="91"/>
      <c r="BM414" s="357"/>
    </row>
    <row r="415" spans="1:65" ht="15.75">
      <c r="A415" s="238"/>
      <c r="F415" s="238"/>
      <c r="G415" s="192"/>
      <c r="I415" s="238"/>
      <c r="N415" s="91"/>
      <c r="O415" s="91"/>
      <c r="P415" s="373"/>
      <c r="Q415" s="260"/>
      <c r="R415" s="260"/>
      <c r="S415" s="376"/>
      <c r="T415" s="376"/>
      <c r="W415" s="374"/>
      <c r="X415" s="374"/>
      <c r="Y415" s="377"/>
      <c r="Z415" s="91"/>
      <c r="AA415" s="91"/>
      <c r="AB415" s="290"/>
      <c r="AC415" s="290"/>
      <c r="AD415" s="290"/>
      <c r="AG415" s="374"/>
      <c r="AH415" s="91"/>
      <c r="AI415" s="91"/>
      <c r="AJ415" s="91"/>
      <c r="AK415" s="286"/>
      <c r="AL415" s="286"/>
      <c r="AM415" s="287"/>
      <c r="AN415" s="287"/>
      <c r="AQ415" s="261"/>
      <c r="AR415" s="261"/>
      <c r="AS415" s="371"/>
      <c r="AT415" s="91"/>
      <c r="AU415" s="91"/>
      <c r="AV415" s="91"/>
      <c r="BA415" s="261"/>
      <c r="BB415" s="371"/>
      <c r="BC415" s="371"/>
      <c r="BD415" s="91"/>
      <c r="BE415" s="91"/>
      <c r="BF415" s="91"/>
      <c r="BG415" s="91"/>
      <c r="BH415" s="91"/>
      <c r="BI415" s="91"/>
      <c r="BJ415" s="91"/>
      <c r="BM415" s="91"/>
    </row>
    <row r="416" spans="1:65" ht="15.75">
      <c r="N416" s="91"/>
      <c r="O416" s="91"/>
      <c r="P416" s="91"/>
      <c r="Q416" s="91"/>
      <c r="R416" s="91"/>
      <c r="W416" s="374"/>
      <c r="X416" s="374"/>
      <c r="Y416" s="377"/>
      <c r="Z416" s="91"/>
      <c r="AA416" s="91"/>
      <c r="AB416" s="290"/>
      <c r="AC416" s="290"/>
      <c r="AD416" s="290"/>
      <c r="AG416" s="374"/>
      <c r="AH416" s="91"/>
      <c r="AI416" s="91"/>
      <c r="AJ416" s="91"/>
      <c r="AK416" s="286"/>
      <c r="AL416" s="286"/>
      <c r="AM416" s="287"/>
      <c r="AN416" s="287"/>
      <c r="AQ416" s="261"/>
      <c r="AR416" s="261"/>
      <c r="AS416" s="371"/>
      <c r="AT416" s="91"/>
      <c r="AU416" s="91"/>
      <c r="AV416" s="91"/>
      <c r="BA416" s="261"/>
      <c r="BB416" s="371"/>
      <c r="BC416" s="371"/>
      <c r="BD416" s="91"/>
      <c r="BE416" s="91"/>
      <c r="BF416" s="91"/>
      <c r="BG416" s="91"/>
      <c r="BH416" s="91"/>
      <c r="BI416" s="91"/>
      <c r="BJ416" s="91"/>
      <c r="BM416" s="91"/>
    </row>
    <row r="417" spans="1:65" ht="15.75">
      <c r="N417" s="91"/>
      <c r="O417" s="91"/>
      <c r="P417" s="91"/>
      <c r="Q417" s="91"/>
      <c r="R417" s="91"/>
      <c r="S417" s="91"/>
      <c r="T417" s="91"/>
      <c r="W417" s="374"/>
      <c r="X417" s="374"/>
      <c r="Y417" s="377"/>
      <c r="Z417" s="91"/>
      <c r="AA417" s="91"/>
      <c r="AB417" s="290"/>
      <c r="AC417" s="290"/>
      <c r="AD417" s="290"/>
      <c r="AG417" s="374"/>
      <c r="AH417" s="91"/>
      <c r="AI417" s="91"/>
      <c r="AJ417" s="91"/>
      <c r="AK417" s="286"/>
      <c r="AL417" s="286"/>
      <c r="AM417" s="287"/>
      <c r="AN417" s="287"/>
      <c r="AQ417" s="261"/>
      <c r="AR417" s="261"/>
      <c r="AS417" s="371"/>
      <c r="AT417" s="91"/>
      <c r="AU417" s="91"/>
      <c r="AV417" s="91"/>
      <c r="BA417" s="261"/>
      <c r="BB417" s="371"/>
      <c r="BC417" s="371"/>
      <c r="BD417" s="91"/>
      <c r="BE417" s="91"/>
      <c r="BF417" s="91"/>
      <c r="BG417" s="91"/>
      <c r="BH417" s="91"/>
      <c r="BI417" s="91"/>
      <c r="BJ417" s="91"/>
      <c r="BM417" s="91"/>
    </row>
    <row r="418" spans="1:65" ht="15.75">
      <c r="A418" s="238"/>
      <c r="D418" s="91"/>
      <c r="E418" s="91"/>
      <c r="F418" s="260"/>
      <c r="G418" s="238"/>
      <c r="H418" s="91"/>
      <c r="I418" s="260"/>
      <c r="J418" s="329"/>
      <c r="K418" s="329"/>
      <c r="N418" s="91"/>
      <c r="O418" s="91"/>
      <c r="P418" s="91"/>
      <c r="Q418" s="91"/>
      <c r="R418" s="238"/>
      <c r="S418" s="91"/>
      <c r="T418" s="91"/>
      <c r="W418" s="374"/>
      <c r="X418" s="374"/>
      <c r="Y418" s="377"/>
      <c r="Z418" s="91"/>
      <c r="AA418" s="91"/>
      <c r="AB418" s="290"/>
      <c r="AC418" s="290"/>
      <c r="AD418" s="290"/>
      <c r="AG418" s="374"/>
      <c r="AH418" s="91"/>
      <c r="AI418" s="91"/>
      <c r="AJ418" s="91"/>
      <c r="AK418" s="286"/>
      <c r="AL418" s="286"/>
      <c r="AM418" s="287"/>
      <c r="AN418" s="287"/>
      <c r="AQ418" s="261"/>
      <c r="AR418" s="261"/>
      <c r="AS418" s="371"/>
      <c r="AT418" s="91"/>
      <c r="AU418" s="91"/>
      <c r="AV418" s="91"/>
      <c r="BA418" s="261"/>
      <c r="BB418" s="371"/>
      <c r="BC418" s="371"/>
      <c r="BD418" s="91"/>
      <c r="BE418" s="91"/>
      <c r="BF418" s="91"/>
      <c r="BG418" s="91"/>
      <c r="BH418" s="91"/>
      <c r="BI418" s="91"/>
      <c r="BJ418" s="91"/>
      <c r="BM418" s="91"/>
    </row>
    <row r="419" spans="1:65" ht="15.75">
      <c r="A419" s="238"/>
      <c r="D419" s="91"/>
      <c r="E419" s="91"/>
      <c r="F419" s="260"/>
      <c r="G419" s="238"/>
      <c r="H419" s="91"/>
      <c r="I419" s="260"/>
      <c r="J419" s="329"/>
      <c r="K419" s="329"/>
      <c r="N419" s="91"/>
      <c r="O419" s="91"/>
      <c r="P419" s="91"/>
      <c r="Q419" s="91"/>
      <c r="R419" s="238"/>
      <c r="S419" s="91"/>
      <c r="T419" s="91"/>
      <c r="W419" s="374"/>
      <c r="X419" s="374"/>
      <c r="Y419" s="377"/>
      <c r="Z419" s="91"/>
      <c r="AA419" s="91"/>
      <c r="AB419" s="290"/>
      <c r="AC419" s="290"/>
      <c r="AD419" s="290"/>
      <c r="AG419" s="374"/>
      <c r="AH419" s="91"/>
      <c r="AI419" s="91"/>
      <c r="AJ419" s="91"/>
      <c r="AK419" s="286"/>
      <c r="AL419" s="286"/>
      <c r="AM419" s="287"/>
      <c r="AN419" s="287"/>
      <c r="AQ419" s="261"/>
      <c r="AR419" s="261"/>
      <c r="AS419" s="371"/>
      <c r="AT419" s="91"/>
      <c r="AU419" s="91"/>
      <c r="AV419" s="91"/>
      <c r="BA419" s="261"/>
      <c r="BB419" s="371"/>
      <c r="BC419" s="371"/>
      <c r="BD419" s="91"/>
      <c r="BE419" s="91"/>
      <c r="BF419" s="91"/>
      <c r="BG419" s="91"/>
      <c r="BH419" s="91"/>
      <c r="BI419" s="91"/>
      <c r="BJ419" s="91"/>
      <c r="BM419" s="91"/>
    </row>
    <row r="420" spans="1:65" ht="15.75">
      <c r="A420" s="238"/>
      <c r="D420" s="91"/>
      <c r="E420" s="91"/>
      <c r="F420" s="260"/>
      <c r="G420" s="238"/>
      <c r="I420" s="260"/>
      <c r="J420" s="329"/>
      <c r="K420" s="329"/>
      <c r="N420" s="91"/>
      <c r="O420" s="91"/>
      <c r="P420" s="91"/>
      <c r="Q420" s="91"/>
      <c r="R420" s="238"/>
      <c r="S420" s="91"/>
      <c r="T420" s="91"/>
      <c r="W420" s="374"/>
      <c r="X420" s="374"/>
      <c r="Y420" s="377"/>
      <c r="Z420" s="91"/>
      <c r="AA420" s="91"/>
      <c r="AB420" s="290"/>
      <c r="AC420" s="290"/>
      <c r="AD420" s="290"/>
      <c r="AG420" s="374"/>
      <c r="AH420" s="91"/>
      <c r="AI420" s="91"/>
      <c r="AJ420" s="91"/>
      <c r="AK420" s="286"/>
      <c r="AL420" s="286"/>
      <c r="AM420" s="287"/>
      <c r="AN420" s="287"/>
      <c r="AQ420" s="261"/>
      <c r="AR420" s="261"/>
      <c r="AS420" s="371"/>
      <c r="AT420" s="91"/>
      <c r="AU420" s="91"/>
      <c r="AV420" s="91"/>
      <c r="BA420" s="261"/>
      <c r="BB420" s="371"/>
      <c r="BC420" s="371"/>
      <c r="BD420" s="91"/>
      <c r="BE420" s="91"/>
      <c r="BF420" s="91"/>
      <c r="BG420" s="91"/>
      <c r="BH420" s="91"/>
      <c r="BI420" s="91"/>
      <c r="BJ420" s="91"/>
      <c r="BM420" s="91"/>
    </row>
    <row r="421" spans="1:65" ht="15.75">
      <c r="N421" s="91"/>
      <c r="O421" s="91"/>
      <c r="P421" s="91"/>
      <c r="Q421" s="91"/>
      <c r="R421" s="238"/>
      <c r="S421" s="91"/>
      <c r="T421" s="91"/>
      <c r="W421" s="374"/>
      <c r="X421" s="374"/>
      <c r="Y421" s="377"/>
      <c r="Z421" s="91"/>
      <c r="AA421" s="91"/>
      <c r="AB421" s="290"/>
      <c r="AC421" s="290"/>
      <c r="AD421" s="290"/>
      <c r="AG421" s="374"/>
      <c r="AH421" s="91"/>
      <c r="AI421" s="91"/>
      <c r="AJ421" s="91"/>
      <c r="AK421" s="286"/>
      <c r="AL421" s="286"/>
      <c r="AM421" s="287"/>
      <c r="AN421" s="287"/>
      <c r="AQ421" s="261"/>
      <c r="AR421" s="261"/>
      <c r="AS421" s="371"/>
      <c r="AT421" s="91"/>
      <c r="AU421" s="91"/>
      <c r="AV421" s="91"/>
      <c r="BA421" s="261"/>
      <c r="BB421" s="371"/>
      <c r="BC421" s="371"/>
      <c r="BD421" s="91"/>
      <c r="BE421" s="91"/>
      <c r="BF421" s="91"/>
      <c r="BG421" s="91"/>
      <c r="BH421" s="91"/>
      <c r="BI421" s="91"/>
      <c r="BJ421" s="91"/>
      <c r="BM421" s="91"/>
    </row>
    <row r="422" spans="1:65" ht="15.75">
      <c r="N422" s="91"/>
      <c r="O422" s="91"/>
      <c r="P422" s="91"/>
      <c r="Q422" s="91"/>
      <c r="R422" s="238"/>
      <c r="S422" s="91"/>
      <c r="T422" s="91"/>
      <c r="W422" s="374"/>
      <c r="X422" s="374"/>
      <c r="Y422" s="377"/>
      <c r="Z422" s="91"/>
      <c r="AA422" s="91"/>
      <c r="AB422" s="290"/>
      <c r="AC422" s="290"/>
      <c r="AD422" s="290"/>
      <c r="AG422" s="374"/>
      <c r="AH422" s="91"/>
      <c r="AI422" s="91"/>
      <c r="AJ422" s="91"/>
      <c r="AK422" s="286"/>
      <c r="AL422" s="286"/>
      <c r="AM422" s="287"/>
      <c r="AN422" s="287"/>
      <c r="AQ422" s="261"/>
      <c r="AR422" s="261"/>
      <c r="AS422" s="371"/>
      <c r="AT422" s="91"/>
      <c r="AU422" s="91"/>
      <c r="AV422" s="91"/>
      <c r="BA422" s="261"/>
      <c r="BB422" s="371"/>
      <c r="BC422" s="371"/>
      <c r="BD422" s="91"/>
      <c r="BE422" s="91"/>
      <c r="BF422" s="91"/>
      <c r="BG422" s="91"/>
      <c r="BH422" s="91"/>
      <c r="BI422" s="91"/>
      <c r="BJ422" s="91"/>
      <c r="BM422" s="91"/>
    </row>
    <row r="423" spans="1:65" ht="15.75">
      <c r="N423" s="91"/>
      <c r="O423" s="91"/>
      <c r="P423" s="91"/>
      <c r="Q423" s="91"/>
      <c r="R423" s="238"/>
      <c r="S423" s="91"/>
      <c r="T423" s="91"/>
      <c r="W423" s="374"/>
      <c r="X423" s="374"/>
      <c r="Y423" s="377"/>
      <c r="Z423" s="91"/>
      <c r="AA423" s="91"/>
      <c r="AB423" s="290"/>
      <c r="AC423" s="290"/>
      <c r="AD423" s="290"/>
      <c r="AG423" s="374"/>
      <c r="AH423" s="91"/>
      <c r="AI423" s="91"/>
      <c r="AJ423" s="91"/>
      <c r="AK423" s="286"/>
      <c r="AL423" s="286"/>
      <c r="AM423" s="287"/>
      <c r="AN423" s="287"/>
      <c r="AQ423" s="261"/>
      <c r="AR423" s="261"/>
      <c r="AS423" s="371"/>
      <c r="AT423" s="91"/>
      <c r="AU423" s="91"/>
      <c r="AV423" s="91"/>
      <c r="BA423" s="261"/>
      <c r="BB423" s="371"/>
      <c r="BC423" s="371"/>
      <c r="BD423" s="91"/>
      <c r="BE423" s="91"/>
      <c r="BF423" s="91"/>
      <c r="BG423" s="91"/>
      <c r="BH423" s="91"/>
      <c r="BI423" s="91"/>
      <c r="BJ423" s="91"/>
      <c r="BM423" s="91"/>
    </row>
    <row r="424" spans="1:65" ht="15.75">
      <c r="N424" s="91"/>
      <c r="O424" s="91"/>
      <c r="P424" s="91"/>
      <c r="Q424" s="91"/>
      <c r="R424" s="238"/>
      <c r="S424" s="91"/>
      <c r="T424" s="91"/>
      <c r="W424" s="374"/>
      <c r="X424" s="374"/>
      <c r="Y424" s="377"/>
      <c r="Z424" s="91"/>
      <c r="AA424" s="91"/>
      <c r="AB424" s="290"/>
      <c r="AC424" s="290"/>
      <c r="AD424" s="290"/>
      <c r="AG424" s="374"/>
      <c r="AH424" s="91"/>
      <c r="AI424" s="91"/>
      <c r="AJ424" s="91"/>
      <c r="AK424" s="286"/>
      <c r="AL424" s="286"/>
      <c r="AM424" s="287"/>
      <c r="AN424" s="287"/>
      <c r="AQ424" s="261"/>
      <c r="AR424" s="261"/>
      <c r="AS424" s="371"/>
      <c r="AT424" s="91"/>
      <c r="AU424" s="91"/>
      <c r="AV424" s="91"/>
      <c r="BA424" s="261"/>
      <c r="BB424" s="371"/>
      <c r="BC424" s="371"/>
      <c r="BD424" s="91"/>
      <c r="BE424" s="91"/>
      <c r="BF424" s="91"/>
      <c r="BG424" s="91"/>
      <c r="BH424" s="91"/>
      <c r="BI424" s="91"/>
      <c r="BJ424" s="91"/>
      <c r="BM424" s="91"/>
    </row>
    <row r="425" spans="1:65" ht="15.75">
      <c r="N425" s="91"/>
      <c r="O425" s="91"/>
      <c r="P425" s="91"/>
      <c r="Q425" s="91"/>
      <c r="R425" s="238"/>
      <c r="S425" s="91"/>
      <c r="T425" s="91"/>
      <c r="W425" s="374"/>
      <c r="X425" s="374"/>
      <c r="Y425" s="377"/>
      <c r="Z425" s="91"/>
      <c r="AA425" s="91"/>
      <c r="AB425" s="290"/>
      <c r="AC425" s="290"/>
      <c r="AD425" s="290"/>
      <c r="AG425" s="374"/>
      <c r="AH425" s="91"/>
      <c r="AI425" s="91"/>
      <c r="AJ425" s="91"/>
      <c r="AK425" s="286"/>
      <c r="AL425" s="286"/>
      <c r="AM425" s="287"/>
      <c r="AN425" s="287"/>
      <c r="AQ425" s="261"/>
      <c r="AR425" s="261"/>
      <c r="AS425" s="371"/>
      <c r="AT425" s="91"/>
      <c r="AU425" s="91"/>
      <c r="AV425" s="91"/>
      <c r="BA425" s="261"/>
      <c r="BB425" s="371"/>
      <c r="BC425" s="371"/>
      <c r="BD425" s="91"/>
      <c r="BE425" s="91"/>
      <c r="BF425" s="91"/>
      <c r="BG425" s="91"/>
      <c r="BH425" s="91"/>
      <c r="BI425" s="91"/>
      <c r="BJ425" s="91"/>
      <c r="BM425" s="91"/>
    </row>
    <row r="426" spans="1:65" ht="15.75">
      <c r="N426" s="91"/>
      <c r="O426" s="91"/>
      <c r="P426" s="91"/>
      <c r="Q426" s="91"/>
      <c r="R426" s="238"/>
      <c r="S426" s="91"/>
      <c r="T426" s="91"/>
      <c r="W426" s="374"/>
      <c r="X426" s="374"/>
      <c r="Y426" s="377"/>
      <c r="Z426" s="91"/>
      <c r="AA426" s="91"/>
      <c r="AB426" s="290"/>
      <c r="AC426" s="290"/>
      <c r="AD426" s="290"/>
      <c r="AG426" s="374"/>
      <c r="AH426" s="91"/>
      <c r="AI426" s="91"/>
      <c r="AJ426" s="91"/>
      <c r="AK426" s="286"/>
      <c r="AL426" s="286"/>
      <c r="AM426" s="287"/>
      <c r="AN426" s="287"/>
      <c r="AQ426" s="261"/>
      <c r="AR426" s="261"/>
      <c r="AS426" s="371"/>
      <c r="AT426" s="91"/>
      <c r="AU426" s="91"/>
      <c r="AV426" s="91"/>
      <c r="BA426" s="261"/>
      <c r="BB426" s="371"/>
      <c r="BC426" s="371"/>
      <c r="BD426" s="91"/>
      <c r="BE426" s="91"/>
      <c r="BF426" s="91"/>
      <c r="BG426" s="91"/>
      <c r="BH426" s="91"/>
      <c r="BI426" s="91"/>
      <c r="BJ426" s="91"/>
      <c r="BM426" s="91"/>
    </row>
    <row r="427" spans="1:65" ht="15.75">
      <c r="N427" s="91"/>
      <c r="O427" s="91"/>
      <c r="P427" s="91"/>
      <c r="Q427" s="91"/>
      <c r="R427" s="238"/>
      <c r="S427" s="91"/>
      <c r="T427" s="91"/>
      <c r="W427" s="374"/>
      <c r="X427" s="374"/>
      <c r="Y427" s="377"/>
      <c r="Z427" s="91"/>
      <c r="AA427" s="91"/>
      <c r="AB427" s="290"/>
      <c r="AC427" s="290"/>
      <c r="AD427" s="290"/>
      <c r="AG427" s="374"/>
      <c r="AH427" s="91"/>
      <c r="AI427" s="91"/>
      <c r="AJ427" s="91"/>
      <c r="AK427" s="286"/>
      <c r="AL427" s="286"/>
      <c r="AM427" s="287"/>
      <c r="AN427" s="287"/>
      <c r="AQ427" s="261"/>
      <c r="AR427" s="261"/>
      <c r="AS427" s="371"/>
      <c r="AT427" s="91"/>
      <c r="AU427" s="91"/>
      <c r="AV427" s="91"/>
      <c r="BA427" s="261"/>
      <c r="BB427" s="371"/>
      <c r="BC427" s="371"/>
      <c r="BD427" s="91"/>
      <c r="BE427" s="91"/>
      <c r="BF427" s="91"/>
      <c r="BG427" s="91"/>
      <c r="BH427" s="91"/>
      <c r="BI427" s="91"/>
      <c r="BJ427" s="91"/>
      <c r="BM427" s="91"/>
    </row>
    <row r="428" spans="1:65" ht="15.75">
      <c r="N428" s="91"/>
      <c r="O428" s="91"/>
      <c r="P428" s="91"/>
      <c r="Q428" s="91"/>
      <c r="R428" s="91"/>
      <c r="S428" s="91"/>
      <c r="T428" s="91"/>
      <c r="W428" s="374"/>
      <c r="X428" s="374"/>
      <c r="Y428" s="377"/>
      <c r="Z428" s="91"/>
      <c r="AA428" s="91"/>
      <c r="AB428" s="290"/>
      <c r="AC428" s="290"/>
      <c r="AD428" s="290"/>
      <c r="AG428" s="374"/>
      <c r="AH428" s="91"/>
      <c r="AI428" s="91"/>
      <c r="AJ428" s="91"/>
      <c r="AK428" s="286"/>
      <c r="AL428" s="286"/>
      <c r="AM428" s="287"/>
      <c r="AN428" s="287"/>
      <c r="AQ428" s="261"/>
      <c r="AR428" s="261"/>
      <c r="AS428" s="371"/>
      <c r="AT428" s="91"/>
      <c r="AU428" s="91"/>
      <c r="AV428" s="91"/>
      <c r="BA428" s="261"/>
      <c r="BB428" s="371"/>
      <c r="BC428" s="371"/>
      <c r="BD428" s="91"/>
      <c r="BE428" s="91"/>
      <c r="BF428" s="91"/>
      <c r="BG428" s="91"/>
      <c r="BH428" s="91"/>
      <c r="BI428" s="91"/>
      <c r="BJ428" s="91"/>
      <c r="BM428" s="91"/>
    </row>
    <row r="429" spans="1:65" ht="15.75">
      <c r="N429" s="91"/>
      <c r="O429" s="91"/>
      <c r="P429" s="91"/>
      <c r="Q429" s="91"/>
      <c r="R429" s="91"/>
      <c r="W429" s="374"/>
      <c r="X429" s="374"/>
      <c r="Y429" s="377"/>
      <c r="Z429" s="91"/>
      <c r="AA429" s="91"/>
      <c r="AB429" s="290"/>
      <c r="AC429" s="290"/>
      <c r="AD429" s="290"/>
      <c r="AG429" s="374"/>
      <c r="AH429" s="91"/>
      <c r="AI429" s="91"/>
      <c r="AJ429" s="91"/>
      <c r="AK429" s="286"/>
      <c r="AL429" s="286"/>
      <c r="AM429" s="287"/>
      <c r="AN429" s="287"/>
      <c r="AQ429" s="261"/>
      <c r="AR429" s="261"/>
      <c r="AS429" s="371"/>
      <c r="AT429" s="91"/>
      <c r="AU429" s="91"/>
      <c r="AV429" s="91"/>
      <c r="BA429" s="261"/>
      <c r="BB429" s="371"/>
      <c r="BC429" s="371"/>
      <c r="BD429" s="91"/>
      <c r="BE429" s="91"/>
      <c r="BF429" s="91"/>
      <c r="BG429" s="91"/>
      <c r="BH429" s="91"/>
      <c r="BI429" s="91"/>
      <c r="BJ429" s="91"/>
      <c r="BM429" s="91"/>
    </row>
    <row r="430" spans="1:65" ht="15.75">
      <c r="N430" s="91"/>
      <c r="O430" s="91"/>
      <c r="P430" s="91"/>
      <c r="Q430" s="91"/>
      <c r="R430" s="91"/>
      <c r="W430" s="374"/>
      <c r="X430" s="374"/>
      <c r="Y430" s="377"/>
      <c r="Z430" s="91"/>
      <c r="AA430" s="91"/>
      <c r="AB430" s="290"/>
      <c r="AC430" s="290"/>
      <c r="AD430" s="290"/>
      <c r="AG430" s="374"/>
      <c r="AH430" s="91"/>
      <c r="AI430" s="91"/>
      <c r="AJ430" s="91"/>
      <c r="AK430" s="286"/>
      <c r="AL430" s="286"/>
      <c r="AM430" s="287"/>
      <c r="AN430" s="287"/>
      <c r="AQ430" s="261"/>
      <c r="AR430" s="261"/>
      <c r="AS430" s="371"/>
      <c r="AT430" s="91"/>
      <c r="AU430" s="91"/>
      <c r="AV430" s="91"/>
      <c r="BA430" s="261"/>
      <c r="BB430" s="371"/>
      <c r="BC430" s="371"/>
      <c r="BD430" s="91"/>
      <c r="BE430" s="91"/>
      <c r="BF430" s="91"/>
      <c r="BG430" s="91"/>
      <c r="BH430" s="91"/>
      <c r="BI430" s="91"/>
      <c r="BJ430" s="91"/>
      <c r="BM430" s="91"/>
    </row>
    <row r="431" spans="1:65" ht="15.75">
      <c r="A431" s="238"/>
      <c r="D431" s="91"/>
      <c r="E431" s="91"/>
      <c r="F431" s="260"/>
      <c r="G431" s="238"/>
      <c r="I431" s="260"/>
      <c r="J431" s="329"/>
      <c r="K431" s="329"/>
      <c r="N431" s="91"/>
      <c r="O431" s="91"/>
      <c r="P431" s="91"/>
      <c r="Q431" s="91"/>
      <c r="R431" s="91"/>
      <c r="W431" s="374"/>
      <c r="X431" s="374"/>
      <c r="Y431" s="377"/>
      <c r="Z431" s="91"/>
      <c r="AA431" s="91"/>
      <c r="AB431" s="290"/>
      <c r="AC431" s="290"/>
      <c r="AD431" s="290"/>
      <c r="AG431" s="374"/>
      <c r="AH431" s="91"/>
      <c r="AI431" s="91"/>
      <c r="AJ431" s="91"/>
      <c r="AK431" s="286"/>
      <c r="AL431" s="286"/>
      <c r="AM431" s="287"/>
      <c r="AN431" s="287"/>
      <c r="AQ431" s="261"/>
      <c r="AR431" s="261"/>
      <c r="AS431" s="371"/>
      <c r="AT431" s="91"/>
      <c r="AU431" s="91"/>
      <c r="AV431" s="91"/>
      <c r="BA431" s="261"/>
      <c r="BB431" s="371"/>
      <c r="BC431" s="371"/>
      <c r="BD431" s="91"/>
      <c r="BE431" s="91"/>
      <c r="BF431" s="91"/>
      <c r="BG431" s="91"/>
      <c r="BH431" s="91"/>
      <c r="BI431" s="91"/>
      <c r="BJ431" s="91"/>
      <c r="BM431" s="91"/>
    </row>
    <row r="432" spans="1:65" ht="15.75">
      <c r="A432" s="238"/>
      <c r="D432" s="91"/>
      <c r="E432" s="91"/>
      <c r="F432" s="260"/>
      <c r="G432" s="238"/>
      <c r="I432" s="260"/>
      <c r="J432" s="329"/>
      <c r="K432" s="329"/>
      <c r="N432" s="91"/>
      <c r="O432" s="91"/>
      <c r="P432" s="91"/>
      <c r="Q432" s="91"/>
      <c r="R432" s="91"/>
      <c r="W432" s="374"/>
      <c r="X432" s="374"/>
      <c r="Y432" s="377"/>
      <c r="Z432" s="91"/>
      <c r="AA432" s="91"/>
      <c r="AB432" s="290"/>
      <c r="AC432" s="290"/>
      <c r="AD432" s="290"/>
      <c r="AG432" s="374"/>
      <c r="AH432" s="91"/>
      <c r="AI432" s="91"/>
      <c r="AJ432" s="91"/>
      <c r="AK432" s="286"/>
      <c r="AL432" s="286"/>
      <c r="AM432" s="287"/>
      <c r="AN432" s="287"/>
      <c r="AQ432" s="261"/>
      <c r="AR432" s="261"/>
      <c r="AS432" s="371"/>
      <c r="AT432" s="91"/>
      <c r="AU432" s="91"/>
      <c r="AV432" s="91"/>
      <c r="BA432" s="261"/>
      <c r="BB432" s="371"/>
      <c r="BC432" s="371"/>
      <c r="BD432" s="91"/>
      <c r="BE432" s="91"/>
      <c r="BF432" s="91"/>
      <c r="BG432" s="91"/>
      <c r="BH432" s="91"/>
      <c r="BI432" s="91"/>
      <c r="BJ432" s="91"/>
      <c r="BM432" s="91"/>
    </row>
    <row r="433" spans="14:65" ht="15.75">
      <c r="N433" s="91"/>
      <c r="O433" s="91"/>
      <c r="P433" s="91"/>
      <c r="Q433" s="91"/>
      <c r="R433" s="91"/>
      <c r="W433" s="374"/>
      <c r="X433" s="374"/>
      <c r="Y433" s="377"/>
      <c r="Z433" s="91"/>
      <c r="AA433" s="91"/>
      <c r="AB433" s="290"/>
      <c r="AC433" s="290"/>
      <c r="AD433" s="290"/>
      <c r="AG433" s="374"/>
      <c r="AH433" s="91"/>
      <c r="AI433" s="91"/>
      <c r="AJ433" s="91"/>
      <c r="AK433" s="286"/>
      <c r="AL433" s="286"/>
      <c r="AM433" s="287"/>
      <c r="AN433" s="287"/>
      <c r="AQ433" s="261"/>
      <c r="AR433" s="261"/>
      <c r="AS433" s="371"/>
      <c r="AT433" s="91"/>
      <c r="AU433" s="91"/>
      <c r="AV433" s="91"/>
      <c r="BA433" s="261"/>
      <c r="BB433" s="371"/>
      <c r="BC433" s="371"/>
      <c r="BD433" s="91"/>
      <c r="BE433" s="91"/>
      <c r="BF433" s="91"/>
      <c r="BG433" s="91"/>
      <c r="BH433" s="91"/>
      <c r="BI433" s="91"/>
      <c r="BJ433" s="91"/>
      <c r="BM433" s="91"/>
    </row>
    <row r="434" spans="14:65" ht="15.75">
      <c r="N434" s="91"/>
      <c r="O434" s="91"/>
      <c r="P434" s="91"/>
      <c r="Q434" s="91"/>
      <c r="R434" s="91"/>
      <c r="W434" s="374"/>
      <c r="X434" s="374"/>
      <c r="Y434" s="377"/>
      <c r="Z434" s="91"/>
      <c r="AA434" s="91"/>
      <c r="AB434" s="290"/>
      <c r="AC434" s="290"/>
      <c r="AD434" s="290"/>
      <c r="AG434" s="374"/>
      <c r="AH434" s="91"/>
      <c r="AI434" s="91"/>
      <c r="AJ434" s="91"/>
      <c r="AK434" s="286"/>
      <c r="AL434" s="286"/>
      <c r="AM434" s="287"/>
      <c r="AN434" s="287"/>
      <c r="AQ434" s="261"/>
      <c r="AR434" s="261"/>
      <c r="AS434" s="371"/>
      <c r="AT434" s="91"/>
      <c r="AU434" s="91"/>
      <c r="AV434" s="91"/>
      <c r="BA434" s="261"/>
      <c r="BB434" s="371"/>
      <c r="BC434" s="371"/>
      <c r="BD434" s="91"/>
      <c r="BE434" s="91"/>
      <c r="BF434" s="91"/>
      <c r="BG434" s="91"/>
      <c r="BH434" s="91"/>
      <c r="BI434" s="91"/>
      <c r="BJ434" s="91"/>
      <c r="BM434" s="91"/>
    </row>
    <row r="435" spans="14:65" ht="15.75">
      <c r="N435" s="91"/>
      <c r="O435" s="91"/>
      <c r="P435" s="91"/>
      <c r="Q435" s="91"/>
      <c r="R435" s="91"/>
      <c r="W435" s="374"/>
      <c r="X435" s="374"/>
      <c r="Y435" s="377"/>
      <c r="Z435" s="91"/>
      <c r="AA435" s="91"/>
      <c r="AB435" s="290"/>
      <c r="AC435" s="290"/>
      <c r="AD435" s="290"/>
      <c r="AG435" s="374"/>
      <c r="AH435" s="91"/>
      <c r="AI435" s="91"/>
      <c r="AJ435" s="91"/>
      <c r="AK435" s="286"/>
      <c r="AL435" s="286"/>
      <c r="AM435" s="287"/>
      <c r="AN435" s="287"/>
      <c r="AQ435" s="261"/>
      <c r="AR435" s="261"/>
      <c r="AS435" s="371"/>
      <c r="AT435" s="91"/>
      <c r="AU435" s="91"/>
      <c r="AV435" s="91"/>
      <c r="BA435" s="261"/>
      <c r="BB435" s="371"/>
      <c r="BC435" s="371"/>
      <c r="BD435" s="91"/>
      <c r="BE435" s="91"/>
      <c r="BF435" s="91"/>
      <c r="BG435" s="91"/>
      <c r="BH435" s="91"/>
      <c r="BI435" s="91"/>
      <c r="BJ435" s="91"/>
      <c r="BM435" s="91"/>
    </row>
    <row r="436" spans="14:65" ht="15.75">
      <c r="N436" s="91"/>
      <c r="O436" s="91"/>
      <c r="P436" s="91"/>
      <c r="Q436" s="91"/>
      <c r="R436" s="91"/>
      <c r="W436" s="374"/>
      <c r="X436" s="374"/>
      <c r="Y436" s="377"/>
      <c r="Z436" s="91"/>
      <c r="AA436" s="91"/>
      <c r="AB436" s="290"/>
      <c r="AC436" s="290"/>
      <c r="AD436" s="290"/>
      <c r="AG436" s="374"/>
      <c r="AH436" s="91"/>
      <c r="AI436" s="91"/>
      <c r="AJ436" s="91"/>
      <c r="AK436" s="286"/>
      <c r="AL436" s="286"/>
      <c r="AM436" s="287"/>
      <c r="AN436" s="287"/>
      <c r="AQ436" s="261"/>
      <c r="AR436" s="261"/>
      <c r="AS436" s="371"/>
      <c r="AT436" s="91"/>
      <c r="AU436" s="91"/>
      <c r="AV436" s="91"/>
      <c r="BA436" s="261"/>
      <c r="BB436" s="371"/>
      <c r="BC436" s="371"/>
      <c r="BD436" s="91"/>
      <c r="BE436" s="91"/>
      <c r="BF436" s="91"/>
      <c r="BG436" s="91"/>
      <c r="BH436" s="91"/>
      <c r="BI436" s="91"/>
      <c r="BJ436" s="91"/>
      <c r="BM436" s="91"/>
    </row>
    <row r="437" spans="14:65" ht="15.75">
      <c r="N437" s="91"/>
      <c r="O437" s="91"/>
      <c r="P437" s="91"/>
      <c r="Q437" s="91"/>
      <c r="R437" s="91"/>
      <c r="W437" s="374"/>
      <c r="X437" s="374"/>
      <c r="Y437" s="377"/>
      <c r="Z437" s="91"/>
      <c r="AA437" s="91"/>
      <c r="AB437" s="290"/>
      <c r="AC437" s="290"/>
      <c r="AD437" s="290"/>
      <c r="AG437" s="374"/>
      <c r="AH437" s="91"/>
      <c r="AI437" s="91"/>
      <c r="AJ437" s="91"/>
      <c r="AK437" s="286"/>
      <c r="AL437" s="286"/>
      <c r="AM437" s="287"/>
      <c r="AN437" s="287"/>
      <c r="AQ437" s="261"/>
      <c r="AR437" s="261"/>
      <c r="AS437" s="371"/>
      <c r="AT437" s="91"/>
      <c r="AU437" s="91"/>
      <c r="AV437" s="91"/>
      <c r="BA437" s="261"/>
      <c r="BB437" s="371"/>
      <c r="BC437" s="371"/>
      <c r="BD437" s="91"/>
      <c r="BE437" s="91"/>
      <c r="BF437" s="91"/>
      <c r="BG437" s="91"/>
      <c r="BH437" s="91"/>
      <c r="BI437" s="91"/>
      <c r="BJ437" s="91"/>
      <c r="BM437" s="91"/>
    </row>
    <row r="438" spans="14:65" ht="15.75">
      <c r="N438" s="91"/>
      <c r="O438" s="91"/>
      <c r="P438" s="91"/>
      <c r="Q438" s="91"/>
      <c r="R438" s="91"/>
      <c r="W438" s="374"/>
      <c r="X438" s="374"/>
      <c r="Y438" s="377"/>
      <c r="Z438" s="91"/>
      <c r="AA438" s="91"/>
      <c r="AB438" s="290"/>
      <c r="AC438" s="290"/>
      <c r="AD438" s="290"/>
      <c r="AG438" s="374"/>
      <c r="AH438" s="91"/>
      <c r="AI438" s="91"/>
      <c r="AJ438" s="91"/>
      <c r="AK438" s="286"/>
      <c r="AL438" s="286"/>
      <c r="AM438" s="287"/>
      <c r="AN438" s="287"/>
      <c r="AQ438" s="261"/>
      <c r="AR438" s="261"/>
      <c r="AS438" s="371"/>
      <c r="AT438" s="91"/>
      <c r="AU438" s="91"/>
      <c r="AV438" s="91"/>
      <c r="BA438" s="261"/>
      <c r="BB438" s="371"/>
      <c r="BC438" s="371"/>
      <c r="BD438" s="91"/>
      <c r="BE438" s="91"/>
      <c r="BF438" s="91"/>
      <c r="BG438" s="91"/>
      <c r="BH438" s="91"/>
      <c r="BI438" s="91"/>
      <c r="BJ438" s="91"/>
      <c r="BM438" s="91"/>
    </row>
    <row r="439" spans="14:65" ht="15.75">
      <c r="N439" s="91"/>
      <c r="O439" s="91"/>
      <c r="P439" s="91"/>
      <c r="Q439" s="91"/>
      <c r="R439" s="91"/>
      <c r="W439" s="374"/>
      <c r="X439" s="374"/>
      <c r="Y439" s="377"/>
      <c r="Z439" s="91"/>
      <c r="AA439" s="91"/>
      <c r="AB439" s="290"/>
      <c r="AC439" s="290"/>
      <c r="AD439" s="290"/>
      <c r="AG439" s="374"/>
      <c r="AH439" s="91"/>
      <c r="AI439" s="91"/>
      <c r="AJ439" s="91"/>
      <c r="AK439" s="286"/>
      <c r="AL439" s="286"/>
      <c r="AM439" s="287"/>
      <c r="AN439" s="287"/>
      <c r="AQ439" s="261"/>
      <c r="AR439" s="261"/>
      <c r="AS439" s="371"/>
      <c r="AT439" s="91"/>
      <c r="AU439" s="91"/>
      <c r="AV439" s="91"/>
      <c r="BA439" s="261"/>
      <c r="BB439" s="371"/>
      <c r="BC439" s="371"/>
      <c r="BD439" s="91"/>
      <c r="BE439" s="91"/>
      <c r="BF439" s="91"/>
      <c r="BG439" s="91"/>
      <c r="BH439" s="91"/>
      <c r="BI439" s="91"/>
      <c r="BJ439" s="91"/>
      <c r="BM439" s="91"/>
    </row>
    <row r="440" spans="14:65" ht="15.75">
      <c r="N440" s="91"/>
      <c r="O440" s="91"/>
      <c r="P440" s="91"/>
      <c r="Q440" s="91"/>
      <c r="R440" s="91"/>
      <c r="W440" s="374"/>
      <c r="X440" s="374"/>
      <c r="Y440" s="377"/>
      <c r="Z440" s="91"/>
      <c r="AA440" s="91"/>
      <c r="AB440" s="290"/>
      <c r="AC440" s="290"/>
      <c r="AD440" s="290"/>
      <c r="AG440" s="374"/>
      <c r="AH440" s="91"/>
      <c r="AI440" s="91"/>
      <c r="AJ440" s="91"/>
      <c r="AK440" s="286"/>
      <c r="AL440" s="286"/>
      <c r="AM440" s="287"/>
      <c r="AN440" s="287"/>
      <c r="AQ440" s="261"/>
      <c r="AR440" s="261"/>
      <c r="AS440" s="371"/>
      <c r="AT440" s="91"/>
      <c r="AU440" s="91"/>
      <c r="AV440" s="91"/>
      <c r="BA440" s="261"/>
      <c r="BB440" s="371"/>
      <c r="BC440" s="371"/>
      <c r="BD440" s="91"/>
      <c r="BE440" s="91"/>
      <c r="BF440" s="91"/>
      <c r="BG440" s="91"/>
      <c r="BH440" s="91"/>
      <c r="BI440" s="91"/>
      <c r="BJ440" s="91"/>
      <c r="BM440" s="91"/>
    </row>
    <row r="441" spans="14:65" ht="15.75">
      <c r="N441" s="91"/>
      <c r="O441" s="91"/>
      <c r="P441" s="91"/>
      <c r="Q441" s="91"/>
      <c r="R441" s="91"/>
      <c r="W441" s="374"/>
      <c r="X441" s="374"/>
      <c r="Y441" s="377"/>
      <c r="Z441" s="91"/>
      <c r="AA441" s="91"/>
      <c r="AB441" s="290"/>
      <c r="AC441" s="290"/>
      <c r="AD441" s="290"/>
      <c r="AG441" s="374"/>
      <c r="AH441" s="91"/>
      <c r="AI441" s="91"/>
      <c r="AJ441" s="91"/>
      <c r="AK441" s="286"/>
      <c r="AL441" s="286"/>
      <c r="AM441" s="287"/>
      <c r="AN441" s="287"/>
      <c r="AQ441" s="261"/>
      <c r="AR441" s="261"/>
      <c r="AS441" s="371"/>
      <c r="AT441" s="91"/>
      <c r="AU441" s="91"/>
      <c r="AV441" s="91"/>
      <c r="BA441" s="261"/>
      <c r="BB441" s="371"/>
      <c r="BC441" s="371"/>
      <c r="BD441" s="91"/>
      <c r="BE441" s="91"/>
      <c r="BF441" s="91"/>
      <c r="BG441" s="91"/>
      <c r="BH441" s="91"/>
      <c r="BI441" s="91"/>
      <c r="BJ441" s="91"/>
      <c r="BM441" s="91"/>
    </row>
    <row r="442" spans="14:65" ht="15.75">
      <c r="N442" s="91"/>
      <c r="O442" s="91"/>
      <c r="P442" s="91"/>
      <c r="Q442" s="91"/>
      <c r="R442" s="91"/>
      <c r="W442" s="374"/>
      <c r="X442" s="374"/>
      <c r="Y442" s="377"/>
      <c r="Z442" s="91"/>
      <c r="AA442" s="91"/>
      <c r="AB442" s="290"/>
      <c r="AC442" s="290"/>
      <c r="AD442" s="290"/>
      <c r="AG442" s="374"/>
      <c r="AH442" s="91"/>
      <c r="AI442" s="91"/>
      <c r="AJ442" s="91"/>
      <c r="AK442" s="286"/>
      <c r="AL442" s="286"/>
      <c r="AM442" s="287"/>
      <c r="AN442" s="287"/>
      <c r="AQ442" s="261"/>
      <c r="AR442" s="261"/>
      <c r="AS442" s="371"/>
      <c r="AT442" s="91"/>
      <c r="AU442" s="91"/>
      <c r="AV442" s="91"/>
      <c r="BA442" s="261"/>
      <c r="BB442" s="371"/>
      <c r="BC442" s="371"/>
      <c r="BD442" s="91"/>
      <c r="BE442" s="91"/>
      <c r="BF442" s="91"/>
      <c r="BG442" s="91"/>
      <c r="BH442" s="91"/>
      <c r="BI442" s="91"/>
      <c r="BJ442" s="91"/>
      <c r="BM442" s="91"/>
    </row>
    <row r="443" spans="14:65" ht="15.75">
      <c r="N443" s="91"/>
      <c r="O443" s="91"/>
      <c r="P443" s="91"/>
      <c r="Q443" s="91"/>
      <c r="R443" s="91"/>
      <c r="W443" s="374"/>
      <c r="X443" s="374"/>
      <c r="Y443" s="377"/>
      <c r="Z443" s="91"/>
      <c r="AA443" s="91"/>
      <c r="AB443" s="290"/>
      <c r="AC443" s="290"/>
      <c r="AD443" s="290"/>
      <c r="AG443" s="374"/>
      <c r="AH443" s="91"/>
      <c r="AI443" s="91"/>
      <c r="AJ443" s="91"/>
      <c r="AK443" s="286"/>
      <c r="AL443" s="286"/>
      <c r="AM443" s="287"/>
      <c r="AN443" s="287"/>
      <c r="AQ443" s="261"/>
      <c r="AR443" s="261"/>
      <c r="AS443" s="371"/>
      <c r="AT443" s="91"/>
      <c r="AU443" s="91"/>
      <c r="AV443" s="91"/>
      <c r="BA443" s="261"/>
      <c r="BB443" s="371"/>
      <c r="BC443" s="371"/>
      <c r="BD443" s="91"/>
      <c r="BE443" s="91"/>
      <c r="BF443" s="91"/>
      <c r="BG443" s="91"/>
      <c r="BH443" s="91"/>
      <c r="BI443" s="91"/>
      <c r="BJ443" s="91"/>
      <c r="BM443" s="91"/>
    </row>
    <row r="444" spans="14:65" ht="15.75">
      <c r="N444" s="91"/>
      <c r="O444" s="91"/>
      <c r="P444" s="91"/>
      <c r="Q444" s="91"/>
      <c r="R444" s="91"/>
      <c r="W444" s="374"/>
      <c r="X444" s="374"/>
      <c r="Y444" s="377"/>
      <c r="Z444" s="91"/>
      <c r="AA444" s="91"/>
      <c r="AB444" s="290"/>
      <c r="AC444" s="290"/>
      <c r="AD444" s="290"/>
      <c r="AG444" s="374"/>
      <c r="AH444" s="91"/>
      <c r="AI444" s="91"/>
      <c r="AJ444" s="91"/>
      <c r="AK444" s="286"/>
      <c r="AL444" s="286"/>
      <c r="AM444" s="287"/>
      <c r="AN444" s="287"/>
      <c r="AQ444" s="261"/>
      <c r="AR444" s="261"/>
      <c r="AS444" s="371"/>
      <c r="AT444" s="91"/>
      <c r="AU444" s="91"/>
      <c r="AV444" s="91"/>
      <c r="BA444" s="261"/>
      <c r="BB444" s="371"/>
      <c r="BC444" s="371"/>
      <c r="BD444" s="91"/>
      <c r="BE444" s="91"/>
      <c r="BF444" s="91"/>
      <c r="BG444" s="91"/>
      <c r="BH444" s="91"/>
      <c r="BI444" s="91"/>
      <c r="BJ444" s="91"/>
      <c r="BM444" s="91"/>
    </row>
    <row r="445" spans="14:65" ht="15.75">
      <c r="N445" s="91"/>
      <c r="O445" s="91"/>
      <c r="P445" s="91"/>
      <c r="Q445" s="91"/>
      <c r="R445" s="91"/>
      <c r="W445" s="374"/>
      <c r="X445" s="374"/>
      <c r="Y445" s="377"/>
      <c r="Z445" s="91"/>
      <c r="AA445" s="91"/>
      <c r="AB445" s="290"/>
      <c r="AC445" s="290"/>
      <c r="AD445" s="290"/>
      <c r="AG445" s="374"/>
      <c r="AH445" s="91"/>
      <c r="AI445" s="91"/>
      <c r="AJ445" s="91"/>
      <c r="AK445" s="286"/>
      <c r="AL445" s="286"/>
      <c r="AM445" s="287"/>
      <c r="AN445" s="287"/>
      <c r="AQ445" s="261"/>
      <c r="AR445" s="261"/>
      <c r="AS445" s="371"/>
      <c r="AT445" s="91"/>
      <c r="AU445" s="91"/>
      <c r="AV445" s="91"/>
      <c r="BA445" s="261"/>
      <c r="BB445" s="371"/>
      <c r="BC445" s="371"/>
      <c r="BD445" s="91"/>
      <c r="BE445" s="91"/>
      <c r="BF445" s="91"/>
      <c r="BG445" s="91"/>
      <c r="BH445" s="91"/>
      <c r="BI445" s="91"/>
      <c r="BJ445" s="91"/>
      <c r="BM445" s="91"/>
    </row>
    <row r="446" spans="14:65" ht="15.75">
      <c r="N446" s="91"/>
      <c r="O446" s="91"/>
      <c r="P446" s="91"/>
      <c r="Q446" s="91"/>
      <c r="R446" s="91"/>
      <c r="W446" s="374"/>
      <c r="X446" s="374"/>
      <c r="Y446" s="377"/>
      <c r="Z446" s="91"/>
      <c r="AA446" s="91"/>
      <c r="AB446" s="290"/>
      <c r="AC446" s="290"/>
      <c r="AD446" s="290"/>
      <c r="AG446" s="374"/>
      <c r="AH446" s="91"/>
      <c r="AI446" s="91"/>
      <c r="AJ446" s="91"/>
      <c r="AK446" s="286"/>
      <c r="AL446" s="286"/>
      <c r="AM446" s="287"/>
      <c r="AN446" s="287"/>
      <c r="AQ446" s="261"/>
      <c r="AR446" s="261"/>
      <c r="AS446" s="371"/>
      <c r="AT446" s="91"/>
      <c r="AU446" s="91"/>
      <c r="AV446" s="91"/>
      <c r="BA446" s="261"/>
      <c r="BB446" s="371"/>
      <c r="BC446" s="371"/>
      <c r="BD446" s="91"/>
      <c r="BE446" s="91"/>
      <c r="BF446" s="91"/>
      <c r="BG446" s="91"/>
      <c r="BH446" s="91"/>
      <c r="BI446" s="91"/>
      <c r="BJ446" s="91"/>
      <c r="BM446" s="91"/>
    </row>
    <row r="447" spans="14:65" ht="15.75">
      <c r="N447" s="91"/>
      <c r="O447" s="91"/>
      <c r="P447" s="91"/>
      <c r="Q447" s="91"/>
      <c r="R447" s="91"/>
      <c r="W447" s="374"/>
      <c r="X447" s="374"/>
      <c r="Y447" s="377"/>
      <c r="Z447" s="91"/>
      <c r="AA447" s="91"/>
      <c r="AB447" s="290"/>
      <c r="AC447" s="290"/>
      <c r="AD447" s="290"/>
      <c r="AG447" s="374"/>
      <c r="AH447" s="91"/>
      <c r="AI447" s="91"/>
      <c r="AJ447" s="91"/>
      <c r="AK447" s="286"/>
      <c r="AL447" s="286"/>
      <c r="AM447" s="287"/>
      <c r="AN447" s="287"/>
      <c r="AQ447" s="261"/>
      <c r="AR447" s="261"/>
      <c r="AS447" s="371"/>
      <c r="AT447" s="91"/>
      <c r="AU447" s="91"/>
      <c r="AV447" s="91"/>
      <c r="BA447" s="261"/>
      <c r="BB447" s="371"/>
      <c r="BC447" s="371"/>
      <c r="BD447" s="91"/>
      <c r="BE447" s="91"/>
      <c r="BF447" s="91"/>
      <c r="BG447" s="91"/>
      <c r="BH447" s="91"/>
      <c r="BI447" s="91"/>
      <c r="BJ447" s="91"/>
      <c r="BM447" s="91"/>
    </row>
    <row r="448" spans="14:65" ht="15.75">
      <c r="N448" s="91"/>
      <c r="O448" s="91"/>
      <c r="P448" s="91"/>
      <c r="Q448" s="91"/>
      <c r="R448" s="91"/>
      <c r="W448" s="374"/>
      <c r="X448" s="374"/>
      <c r="Y448" s="377"/>
      <c r="Z448" s="91"/>
      <c r="AA448" s="91"/>
      <c r="AB448" s="290"/>
      <c r="AC448" s="290"/>
      <c r="AD448" s="290"/>
      <c r="AG448" s="374"/>
      <c r="AH448" s="91"/>
      <c r="AI448" s="91"/>
      <c r="AJ448" s="91"/>
      <c r="AK448" s="286"/>
      <c r="AL448" s="286"/>
      <c r="AM448" s="287"/>
      <c r="AN448" s="287"/>
      <c r="AQ448" s="261"/>
      <c r="AR448" s="261"/>
      <c r="AS448" s="371"/>
      <c r="AT448" s="91"/>
      <c r="AU448" s="91"/>
      <c r="AV448" s="91"/>
      <c r="BA448" s="261"/>
      <c r="BB448" s="371"/>
      <c r="BC448" s="371"/>
      <c r="BD448" s="91"/>
      <c r="BE448" s="91"/>
      <c r="BF448" s="91"/>
      <c r="BG448" s="91"/>
      <c r="BH448" s="91"/>
      <c r="BI448" s="91"/>
      <c r="BJ448" s="91"/>
      <c r="BM448" s="91"/>
    </row>
    <row r="449" spans="14:65" ht="15.75">
      <c r="N449" s="91"/>
      <c r="O449" s="91"/>
      <c r="P449" s="91"/>
      <c r="Q449" s="91"/>
      <c r="R449" s="91"/>
      <c r="W449" s="374"/>
      <c r="X449" s="374"/>
      <c r="Y449" s="377"/>
      <c r="Z449" s="91"/>
      <c r="AA449" s="91"/>
      <c r="AB449" s="290"/>
      <c r="AC449" s="290"/>
      <c r="AD449" s="290"/>
      <c r="AG449" s="374"/>
      <c r="AH449" s="91"/>
      <c r="AI449" s="91"/>
      <c r="AJ449" s="91"/>
      <c r="AK449" s="286"/>
      <c r="AL449" s="286"/>
      <c r="AM449" s="287"/>
      <c r="AN449" s="287"/>
      <c r="AQ449" s="261"/>
      <c r="AR449" s="261"/>
      <c r="AS449" s="371"/>
      <c r="AT449" s="91"/>
      <c r="AU449" s="91"/>
      <c r="AV449" s="91"/>
      <c r="BA449" s="261"/>
      <c r="BB449" s="371"/>
      <c r="BC449" s="371"/>
      <c r="BD449" s="91"/>
      <c r="BE449" s="91"/>
      <c r="BF449" s="91"/>
      <c r="BG449" s="91"/>
      <c r="BH449" s="91"/>
      <c r="BI449" s="91"/>
      <c r="BJ449" s="91"/>
      <c r="BM449" s="91"/>
    </row>
    <row r="450" spans="14:65" ht="15.75">
      <c r="N450" s="91"/>
      <c r="O450" s="91"/>
      <c r="P450" s="91"/>
      <c r="Q450" s="91"/>
      <c r="R450" s="91"/>
      <c r="W450" s="374"/>
      <c r="X450" s="374"/>
      <c r="Y450" s="377"/>
      <c r="Z450" s="91"/>
      <c r="AA450" s="91"/>
      <c r="AB450" s="290"/>
      <c r="AC450" s="290"/>
      <c r="AD450" s="290"/>
      <c r="AG450" s="374"/>
      <c r="AH450" s="91"/>
      <c r="AI450" s="91"/>
      <c r="AJ450" s="91"/>
      <c r="AK450" s="286"/>
      <c r="AL450" s="286"/>
      <c r="AM450" s="287"/>
      <c r="AN450" s="287"/>
      <c r="AQ450" s="261"/>
      <c r="AR450" s="261"/>
      <c r="AS450" s="371"/>
      <c r="AT450" s="91"/>
      <c r="AU450" s="91"/>
      <c r="AV450" s="91"/>
      <c r="BA450" s="261"/>
      <c r="BB450" s="371"/>
      <c r="BC450" s="371"/>
      <c r="BD450" s="91"/>
      <c r="BE450" s="91"/>
      <c r="BF450" s="91"/>
      <c r="BG450" s="91"/>
      <c r="BH450" s="91"/>
      <c r="BI450" s="91"/>
      <c r="BJ450" s="91"/>
      <c r="BM450" s="91"/>
    </row>
    <row r="451" spans="14:65" ht="15.75">
      <c r="N451" s="91"/>
      <c r="O451" s="91"/>
      <c r="P451" s="91"/>
      <c r="Q451" s="91"/>
      <c r="R451" s="91"/>
      <c r="W451" s="374"/>
      <c r="X451" s="374"/>
      <c r="Y451" s="377"/>
      <c r="Z451" s="91"/>
      <c r="AA451" s="91"/>
      <c r="AB451" s="290"/>
      <c r="AC451" s="290"/>
      <c r="AD451" s="290"/>
      <c r="AG451" s="374"/>
      <c r="AH451" s="91"/>
      <c r="AI451" s="91"/>
      <c r="AJ451" s="91"/>
      <c r="AK451" s="286"/>
      <c r="AL451" s="286"/>
      <c r="AM451" s="287"/>
      <c r="AN451" s="287"/>
      <c r="AQ451" s="261"/>
      <c r="AR451" s="261"/>
      <c r="AS451" s="371"/>
      <c r="AT451" s="91"/>
      <c r="AU451" s="91"/>
      <c r="AV451" s="91"/>
      <c r="BA451" s="261"/>
      <c r="BB451" s="371"/>
      <c r="BC451" s="371"/>
      <c r="BD451" s="91"/>
      <c r="BE451" s="91"/>
      <c r="BF451" s="91"/>
      <c r="BG451" s="91"/>
      <c r="BH451" s="91"/>
      <c r="BI451" s="91"/>
      <c r="BJ451" s="91"/>
      <c r="BM451" s="91"/>
    </row>
    <row r="452" spans="14:65" ht="15.75">
      <c r="N452" s="91"/>
      <c r="O452" s="91"/>
      <c r="P452" s="91"/>
      <c r="Q452" s="91"/>
      <c r="R452" s="91"/>
      <c r="W452" s="374"/>
      <c r="X452" s="374"/>
      <c r="Y452" s="377"/>
      <c r="Z452" s="91"/>
      <c r="AA452" s="91"/>
      <c r="AB452" s="290"/>
      <c r="AC452" s="290"/>
      <c r="AD452" s="290"/>
      <c r="AG452" s="374"/>
      <c r="AH452" s="91"/>
      <c r="AI452" s="91"/>
      <c r="AJ452" s="91"/>
      <c r="AK452" s="286"/>
      <c r="AL452" s="286"/>
      <c r="AM452" s="287"/>
      <c r="AN452" s="287"/>
      <c r="AQ452" s="261"/>
      <c r="AR452" s="261"/>
      <c r="AS452" s="371"/>
      <c r="AT452" s="91"/>
      <c r="AU452" s="91"/>
      <c r="AV452" s="91"/>
      <c r="BA452" s="261"/>
      <c r="BB452" s="371"/>
      <c r="BC452" s="371"/>
      <c r="BD452" s="91"/>
      <c r="BE452" s="91"/>
      <c r="BF452" s="91"/>
      <c r="BG452" s="91"/>
      <c r="BH452" s="91"/>
      <c r="BI452" s="91"/>
      <c r="BJ452" s="91"/>
      <c r="BM452" s="91"/>
    </row>
    <row r="453" spans="14:65" ht="15.75">
      <c r="N453" s="91"/>
      <c r="O453" s="91"/>
      <c r="P453" s="91"/>
      <c r="Q453" s="91"/>
      <c r="R453" s="91"/>
      <c r="W453" s="374"/>
      <c r="X453" s="374"/>
      <c r="Y453" s="377"/>
      <c r="Z453" s="91"/>
      <c r="AA453" s="91"/>
      <c r="AB453" s="290"/>
      <c r="AC453" s="290"/>
      <c r="AD453" s="290"/>
      <c r="AG453" s="374"/>
      <c r="AH453" s="91"/>
      <c r="AI453" s="91"/>
      <c r="AJ453" s="91"/>
      <c r="AK453" s="286"/>
      <c r="AL453" s="286"/>
      <c r="AM453" s="287"/>
      <c r="AN453" s="287"/>
      <c r="AQ453" s="261"/>
      <c r="AR453" s="261"/>
      <c r="AS453" s="371"/>
      <c r="AT453" s="91"/>
      <c r="AU453" s="91"/>
      <c r="AV453" s="91"/>
      <c r="BA453" s="261"/>
      <c r="BB453" s="371"/>
      <c r="BC453" s="371"/>
      <c r="BD453" s="91"/>
      <c r="BE453" s="91"/>
      <c r="BF453" s="91"/>
      <c r="BG453" s="91"/>
      <c r="BH453" s="91"/>
      <c r="BI453" s="91"/>
      <c r="BJ453" s="91"/>
      <c r="BM453" s="91"/>
    </row>
    <row r="454" spans="14:65" ht="15.75">
      <c r="N454" s="91"/>
      <c r="O454" s="91"/>
      <c r="P454" s="91"/>
      <c r="Q454" s="91"/>
      <c r="R454" s="91"/>
      <c r="W454" s="374"/>
      <c r="X454" s="374"/>
      <c r="Y454" s="377"/>
      <c r="Z454" s="91"/>
      <c r="AA454" s="91"/>
      <c r="AB454" s="290"/>
      <c r="AC454" s="290"/>
      <c r="AD454" s="290"/>
      <c r="AG454" s="374"/>
      <c r="AH454" s="91"/>
      <c r="AI454" s="91"/>
      <c r="AJ454" s="91"/>
      <c r="AK454" s="286"/>
      <c r="AL454" s="286"/>
      <c r="AM454" s="287"/>
      <c r="AN454" s="287"/>
      <c r="AQ454" s="261"/>
      <c r="AR454" s="261"/>
      <c r="AS454" s="371"/>
      <c r="AT454" s="91"/>
      <c r="AU454" s="91"/>
      <c r="AV454" s="91"/>
      <c r="BA454" s="261"/>
      <c r="BB454" s="371"/>
      <c r="BC454" s="371"/>
      <c r="BD454" s="91"/>
      <c r="BE454" s="91"/>
      <c r="BF454" s="91"/>
      <c r="BG454" s="91"/>
      <c r="BH454" s="91"/>
      <c r="BI454" s="91"/>
      <c r="BJ454" s="91"/>
      <c r="BM454" s="91"/>
    </row>
    <row r="455" spans="14:65" ht="15.75">
      <c r="N455" s="91"/>
      <c r="O455" s="91"/>
      <c r="P455" s="91"/>
      <c r="Q455" s="91"/>
      <c r="R455" s="91"/>
      <c r="W455" s="374"/>
      <c r="X455" s="374"/>
      <c r="Y455" s="377"/>
      <c r="Z455" s="91"/>
      <c r="AA455" s="91"/>
      <c r="AB455" s="290"/>
      <c r="AC455" s="290"/>
      <c r="AD455" s="290"/>
      <c r="AG455" s="374"/>
      <c r="AH455" s="91"/>
      <c r="AI455" s="91"/>
      <c r="AJ455" s="91"/>
      <c r="AK455" s="286"/>
      <c r="AL455" s="286"/>
      <c r="AM455" s="287"/>
      <c r="AN455" s="287"/>
      <c r="AQ455" s="261"/>
      <c r="AR455" s="261"/>
      <c r="AS455" s="371"/>
      <c r="AT455" s="91"/>
      <c r="AU455" s="91"/>
      <c r="AV455" s="91"/>
      <c r="BA455" s="261"/>
      <c r="BB455" s="371"/>
      <c r="BC455" s="371"/>
      <c r="BD455" s="91"/>
      <c r="BE455" s="91"/>
      <c r="BF455" s="91"/>
      <c r="BG455" s="91"/>
      <c r="BH455" s="91"/>
      <c r="BI455" s="91"/>
      <c r="BJ455" s="91"/>
      <c r="BM455" s="91"/>
    </row>
    <row r="456" spans="14:65" ht="15.75">
      <c r="N456" s="91"/>
      <c r="O456" s="91"/>
      <c r="P456" s="91"/>
      <c r="Q456" s="91"/>
      <c r="R456" s="91"/>
      <c r="W456" s="374"/>
      <c r="X456" s="374"/>
      <c r="Y456" s="377"/>
      <c r="Z456" s="91"/>
      <c r="AA456" s="91"/>
      <c r="AB456" s="290"/>
      <c r="AC456" s="290"/>
      <c r="AD456" s="290"/>
      <c r="AG456" s="374"/>
      <c r="AH456" s="91"/>
      <c r="AI456" s="91"/>
      <c r="AJ456" s="91"/>
      <c r="AK456" s="286"/>
      <c r="AL456" s="286"/>
      <c r="AM456" s="287"/>
      <c r="AN456" s="287"/>
      <c r="AQ456" s="261"/>
      <c r="AR456" s="261"/>
      <c r="AS456" s="371"/>
      <c r="AT456" s="91"/>
      <c r="AU456" s="91"/>
      <c r="AV456" s="91"/>
      <c r="BA456" s="261"/>
      <c r="BB456" s="371"/>
      <c r="BC456" s="371"/>
      <c r="BD456" s="91"/>
      <c r="BE456" s="91"/>
      <c r="BF456" s="91"/>
      <c r="BG456" s="91"/>
      <c r="BH456" s="91"/>
      <c r="BI456" s="91"/>
      <c r="BJ456" s="91"/>
      <c r="BM456" s="91"/>
    </row>
    <row r="457" spans="14:65" ht="15.75">
      <c r="N457" s="91"/>
      <c r="O457" s="91"/>
      <c r="P457" s="91"/>
      <c r="Q457" s="91"/>
      <c r="R457" s="91"/>
      <c r="W457" s="374"/>
      <c r="X457" s="374"/>
      <c r="Y457" s="377"/>
      <c r="Z457" s="91"/>
      <c r="AA457" s="91"/>
      <c r="AB457" s="290"/>
      <c r="AC457" s="290"/>
      <c r="AD457" s="290"/>
      <c r="AG457" s="374"/>
      <c r="AH457" s="91"/>
      <c r="AI457" s="91"/>
      <c r="AJ457" s="91"/>
      <c r="AK457" s="286"/>
      <c r="AL457" s="286"/>
      <c r="AM457" s="287"/>
      <c r="AN457" s="287"/>
      <c r="AQ457" s="261"/>
      <c r="AR457" s="261"/>
      <c r="AS457" s="371"/>
      <c r="AT457" s="91"/>
      <c r="AU457" s="91"/>
      <c r="AV457" s="91"/>
      <c r="BA457" s="261"/>
      <c r="BB457" s="371"/>
      <c r="BC457" s="371"/>
      <c r="BD457" s="91"/>
      <c r="BE457" s="91"/>
      <c r="BF457" s="91"/>
      <c r="BG457" s="91"/>
      <c r="BH457" s="91"/>
      <c r="BI457" s="91"/>
      <c r="BJ457" s="91"/>
      <c r="BM457" s="91"/>
    </row>
    <row r="458" spans="14:65" ht="15.75">
      <c r="N458" s="91"/>
      <c r="O458" s="91"/>
      <c r="P458" s="91"/>
      <c r="Q458" s="91"/>
      <c r="R458" s="91"/>
      <c r="W458" s="374"/>
      <c r="X458" s="374"/>
      <c r="Y458" s="377"/>
      <c r="Z458" s="91"/>
      <c r="AA458" s="91"/>
      <c r="AB458" s="290"/>
      <c r="AC458" s="290"/>
      <c r="AD458" s="290"/>
      <c r="AG458" s="374"/>
      <c r="AH458" s="91"/>
      <c r="AI458" s="91"/>
      <c r="AJ458" s="91"/>
      <c r="AK458" s="286"/>
      <c r="AL458" s="286"/>
      <c r="AM458" s="287"/>
      <c r="AN458" s="287"/>
      <c r="AQ458" s="261"/>
      <c r="AR458" s="261"/>
      <c r="AS458" s="371"/>
      <c r="AT458" s="91"/>
      <c r="AU458" s="91"/>
      <c r="AV458" s="91"/>
      <c r="BA458" s="261"/>
      <c r="BB458" s="371"/>
      <c r="BC458" s="371"/>
      <c r="BD458" s="91"/>
      <c r="BE458" s="91"/>
      <c r="BF458" s="91"/>
      <c r="BG458" s="91"/>
      <c r="BH458" s="91"/>
      <c r="BI458" s="91"/>
      <c r="BJ458" s="91"/>
      <c r="BM458" s="91"/>
    </row>
    <row r="459" spans="14:65" ht="15.75">
      <c r="N459" s="91"/>
      <c r="O459" s="91"/>
      <c r="P459" s="91"/>
      <c r="Q459" s="91"/>
      <c r="R459" s="91"/>
      <c r="W459" s="374"/>
      <c r="X459" s="374"/>
      <c r="Y459" s="377"/>
      <c r="Z459" s="91"/>
      <c r="AA459" s="91"/>
      <c r="AB459" s="290"/>
      <c r="AC459" s="290"/>
      <c r="AD459" s="290"/>
      <c r="AG459" s="374"/>
      <c r="AH459" s="91"/>
      <c r="AI459" s="91"/>
      <c r="AJ459" s="91"/>
      <c r="AK459" s="286"/>
      <c r="AL459" s="286"/>
      <c r="AM459" s="287"/>
      <c r="AN459" s="287"/>
      <c r="AQ459" s="261"/>
      <c r="AR459" s="261"/>
      <c r="AS459" s="371"/>
      <c r="AT459" s="91"/>
      <c r="AU459" s="91"/>
      <c r="AV459" s="91"/>
      <c r="BA459" s="261"/>
      <c r="BB459" s="371"/>
      <c r="BC459" s="371"/>
      <c r="BD459" s="91"/>
      <c r="BE459" s="91"/>
      <c r="BF459" s="91"/>
      <c r="BG459" s="91"/>
      <c r="BH459" s="91"/>
      <c r="BI459" s="91"/>
      <c r="BJ459" s="91"/>
      <c r="BM459" s="91"/>
    </row>
    <row r="460" spans="14:65" ht="15.75">
      <c r="N460" s="91"/>
      <c r="O460" s="91"/>
      <c r="P460" s="91"/>
      <c r="Q460" s="91"/>
      <c r="R460" s="91"/>
      <c r="W460" s="374"/>
      <c r="X460" s="374"/>
      <c r="Y460" s="377"/>
      <c r="Z460" s="91"/>
      <c r="AA460" s="91"/>
      <c r="AB460" s="290"/>
      <c r="AC460" s="290"/>
      <c r="AD460" s="290"/>
      <c r="AG460" s="374"/>
      <c r="AH460" s="91"/>
      <c r="AI460" s="91"/>
      <c r="AJ460" s="91"/>
      <c r="AK460" s="286"/>
      <c r="AL460" s="286"/>
      <c r="AM460" s="287"/>
      <c r="AN460" s="287"/>
      <c r="AQ460" s="261"/>
      <c r="AR460" s="261"/>
      <c r="AS460" s="371"/>
      <c r="AT460" s="91"/>
      <c r="AU460" s="91"/>
      <c r="AV460" s="91"/>
      <c r="BA460" s="261"/>
      <c r="BB460" s="371"/>
      <c r="BC460" s="371"/>
      <c r="BD460" s="91"/>
      <c r="BE460" s="91"/>
      <c r="BF460" s="91"/>
      <c r="BG460" s="91"/>
      <c r="BH460" s="91"/>
      <c r="BI460" s="91"/>
      <c r="BJ460" s="91"/>
      <c r="BM460" s="91"/>
    </row>
    <row r="461" spans="14:65" ht="15.75">
      <c r="N461" s="91"/>
      <c r="O461" s="91"/>
      <c r="P461" s="91"/>
      <c r="Q461" s="91"/>
      <c r="R461" s="91"/>
      <c r="W461" s="374"/>
      <c r="X461" s="374"/>
      <c r="Y461" s="377"/>
      <c r="Z461" s="91"/>
      <c r="AA461" s="91"/>
      <c r="AB461" s="290"/>
      <c r="AC461" s="290"/>
      <c r="AD461" s="290"/>
      <c r="AG461" s="374"/>
      <c r="AH461" s="91"/>
      <c r="AI461" s="91"/>
      <c r="AJ461" s="91"/>
      <c r="AK461" s="286"/>
      <c r="AL461" s="286"/>
      <c r="AM461" s="287"/>
      <c r="AN461" s="287"/>
      <c r="AQ461" s="261"/>
      <c r="AR461" s="261"/>
      <c r="AS461" s="371"/>
      <c r="AT461" s="91"/>
      <c r="AU461" s="91"/>
      <c r="AV461" s="91"/>
      <c r="BA461" s="261"/>
      <c r="BB461" s="371"/>
      <c r="BC461" s="371"/>
      <c r="BD461" s="91"/>
      <c r="BE461" s="91"/>
      <c r="BF461" s="91"/>
      <c r="BG461" s="91"/>
      <c r="BH461" s="91"/>
      <c r="BI461" s="91"/>
      <c r="BJ461" s="91"/>
      <c r="BM461" s="91"/>
    </row>
    <row r="462" spans="14:65" ht="15.75">
      <c r="N462" s="91"/>
      <c r="O462" s="91"/>
      <c r="P462" s="91"/>
      <c r="Q462" s="91"/>
      <c r="R462" s="91"/>
      <c r="W462" s="374"/>
      <c r="X462" s="374"/>
      <c r="Y462" s="377"/>
      <c r="Z462" s="91"/>
      <c r="AA462" s="91"/>
      <c r="AB462" s="290"/>
      <c r="AC462" s="290"/>
      <c r="AD462" s="290"/>
      <c r="AG462" s="374"/>
      <c r="AH462" s="91"/>
      <c r="AI462" s="91"/>
      <c r="AJ462" s="91"/>
      <c r="AK462" s="286"/>
      <c r="AL462" s="286"/>
      <c r="AM462" s="287"/>
      <c r="AN462" s="287"/>
      <c r="AQ462" s="261"/>
      <c r="AR462" s="261"/>
      <c r="AS462" s="371"/>
      <c r="AT462" s="91"/>
      <c r="AU462" s="91"/>
      <c r="AV462" s="91"/>
      <c r="BA462" s="261"/>
      <c r="BB462" s="371"/>
      <c r="BC462" s="371"/>
      <c r="BD462" s="91"/>
      <c r="BE462" s="91"/>
      <c r="BF462" s="91"/>
      <c r="BG462" s="91"/>
      <c r="BH462" s="91"/>
      <c r="BI462" s="91"/>
      <c r="BJ462" s="91"/>
      <c r="BM462" s="91"/>
    </row>
    <row r="463" spans="14:65" ht="15.75">
      <c r="N463" s="91"/>
      <c r="O463" s="91"/>
      <c r="P463" s="91"/>
      <c r="Q463" s="91"/>
      <c r="R463" s="91"/>
      <c r="W463" s="374"/>
      <c r="X463" s="374"/>
      <c r="Y463" s="377"/>
      <c r="Z463" s="91"/>
      <c r="AA463" s="91"/>
      <c r="AB463" s="290"/>
      <c r="AC463" s="290"/>
      <c r="AD463" s="290"/>
      <c r="AG463" s="374"/>
      <c r="AH463" s="91"/>
      <c r="AI463" s="91"/>
      <c r="AJ463" s="91"/>
      <c r="AK463" s="286"/>
      <c r="AL463" s="286"/>
      <c r="AM463" s="287"/>
      <c r="AN463" s="287"/>
      <c r="AQ463" s="261"/>
      <c r="AR463" s="261"/>
      <c r="AS463" s="371"/>
      <c r="AT463" s="91"/>
      <c r="AU463" s="91"/>
      <c r="AV463" s="91"/>
      <c r="BA463" s="261"/>
      <c r="BB463" s="371"/>
      <c r="BC463" s="371"/>
      <c r="BD463" s="91"/>
      <c r="BE463" s="91"/>
      <c r="BF463" s="91"/>
      <c r="BG463" s="91"/>
      <c r="BH463" s="91"/>
      <c r="BI463" s="91"/>
      <c r="BJ463" s="91"/>
      <c r="BM463" s="91"/>
    </row>
    <row r="464" spans="14:65" ht="15.75">
      <c r="N464" s="91"/>
      <c r="O464" s="91"/>
      <c r="P464" s="91"/>
      <c r="Q464" s="91"/>
      <c r="R464" s="91"/>
      <c r="W464" s="374"/>
      <c r="X464" s="374"/>
      <c r="Y464" s="377"/>
      <c r="Z464" s="91"/>
      <c r="AA464" s="91"/>
      <c r="AB464" s="290"/>
      <c r="AC464" s="290"/>
      <c r="AD464" s="290"/>
      <c r="AG464" s="374"/>
      <c r="AH464" s="91"/>
      <c r="AI464" s="91"/>
      <c r="AJ464" s="91"/>
      <c r="AK464" s="286"/>
      <c r="AL464" s="286"/>
      <c r="AM464" s="287"/>
      <c r="AN464" s="287"/>
      <c r="AQ464" s="261"/>
      <c r="AR464" s="261"/>
      <c r="AS464" s="371"/>
      <c r="AT464" s="91"/>
      <c r="AU464" s="91"/>
      <c r="AV464" s="91"/>
      <c r="BA464" s="261"/>
      <c r="BB464" s="371"/>
      <c r="BC464" s="371"/>
      <c r="BD464" s="91"/>
      <c r="BE464" s="91"/>
      <c r="BF464" s="91"/>
      <c r="BG464" s="91"/>
      <c r="BH464" s="91"/>
      <c r="BI464" s="91"/>
      <c r="BJ464" s="91"/>
      <c r="BM464" s="91"/>
    </row>
    <row r="465" spans="14:65" ht="15.75">
      <c r="N465" s="91"/>
      <c r="O465" s="91"/>
      <c r="P465" s="91"/>
      <c r="Q465" s="91"/>
      <c r="R465" s="91"/>
      <c r="W465" s="374"/>
      <c r="X465" s="374"/>
      <c r="Y465" s="377"/>
      <c r="Z465" s="91"/>
      <c r="AA465" s="91"/>
      <c r="AB465" s="290"/>
      <c r="AC465" s="290"/>
      <c r="AD465" s="290"/>
      <c r="AG465" s="374"/>
      <c r="AH465" s="91"/>
      <c r="AI465" s="91"/>
      <c r="AJ465" s="91"/>
      <c r="AK465" s="286"/>
      <c r="AL465" s="286"/>
      <c r="AM465" s="287"/>
      <c r="AN465" s="287"/>
      <c r="AQ465" s="261"/>
      <c r="AR465" s="261"/>
      <c r="AS465" s="371"/>
      <c r="AT465" s="91"/>
      <c r="AU465" s="91"/>
      <c r="AV465" s="91"/>
      <c r="BA465" s="261"/>
      <c r="BB465" s="371"/>
      <c r="BC465" s="371"/>
      <c r="BD465" s="91"/>
      <c r="BE465" s="91"/>
      <c r="BF465" s="91"/>
      <c r="BG465" s="91"/>
      <c r="BH465" s="91"/>
      <c r="BI465" s="91"/>
      <c r="BJ465" s="91"/>
      <c r="BM465" s="91"/>
    </row>
    <row r="466" spans="14:65" ht="15.75">
      <c r="N466" s="91"/>
      <c r="O466" s="91"/>
      <c r="P466" s="91"/>
      <c r="Q466" s="91"/>
      <c r="R466" s="91"/>
      <c r="W466" s="374"/>
      <c r="X466" s="374"/>
      <c r="Y466" s="377"/>
      <c r="Z466" s="91"/>
      <c r="AA466" s="91"/>
      <c r="AB466" s="290"/>
      <c r="AC466" s="290"/>
      <c r="AD466" s="290"/>
      <c r="AG466" s="374"/>
      <c r="AH466" s="91"/>
      <c r="AI466" s="91"/>
      <c r="AJ466" s="91"/>
      <c r="AK466" s="286"/>
      <c r="AL466" s="286"/>
      <c r="AM466" s="287"/>
      <c r="AN466" s="287"/>
      <c r="AQ466" s="261"/>
      <c r="AR466" s="261"/>
      <c r="AS466" s="371"/>
      <c r="AT466" s="91"/>
      <c r="AU466" s="91"/>
      <c r="AV466" s="91"/>
      <c r="BA466" s="261"/>
      <c r="BB466" s="371"/>
      <c r="BC466" s="371"/>
      <c r="BD466" s="91"/>
      <c r="BE466" s="91"/>
      <c r="BF466" s="91"/>
      <c r="BG466" s="91"/>
      <c r="BH466" s="91"/>
      <c r="BI466" s="91"/>
      <c r="BJ466" s="91"/>
      <c r="BM466" s="91"/>
    </row>
    <row r="467" spans="14:65" ht="15.75">
      <c r="N467" s="91"/>
      <c r="O467" s="91"/>
      <c r="P467" s="91"/>
      <c r="Q467" s="91"/>
      <c r="R467" s="91"/>
      <c r="W467" s="374"/>
      <c r="X467" s="374"/>
      <c r="Y467" s="377"/>
      <c r="Z467" s="91"/>
      <c r="AA467" s="91"/>
      <c r="AB467" s="290"/>
      <c r="AC467" s="290"/>
      <c r="AD467" s="290"/>
      <c r="AG467" s="374"/>
      <c r="AH467" s="91"/>
      <c r="AI467" s="91"/>
      <c r="AJ467" s="91"/>
      <c r="AK467" s="286"/>
      <c r="AL467" s="286"/>
      <c r="AM467" s="287"/>
      <c r="AN467" s="287"/>
      <c r="AQ467" s="261"/>
      <c r="AR467" s="261"/>
      <c r="AS467" s="371"/>
      <c r="AT467" s="91"/>
      <c r="AU467" s="91"/>
      <c r="AV467" s="91"/>
      <c r="BA467" s="261"/>
      <c r="BB467" s="371"/>
      <c r="BC467" s="371"/>
      <c r="BD467" s="91"/>
      <c r="BE467" s="91"/>
      <c r="BF467" s="91"/>
      <c r="BG467" s="91"/>
      <c r="BH467" s="91"/>
      <c r="BI467" s="91"/>
      <c r="BJ467" s="91"/>
      <c r="BM467" s="91"/>
    </row>
    <row r="468" spans="14:65" ht="15.75">
      <c r="N468" s="91"/>
      <c r="O468" s="91"/>
      <c r="P468" s="91"/>
      <c r="Q468" s="91"/>
      <c r="R468" s="91"/>
      <c r="W468" s="374"/>
      <c r="X468" s="374"/>
      <c r="Y468" s="377"/>
      <c r="Z468" s="91"/>
      <c r="AA468" s="91"/>
      <c r="AB468" s="290"/>
      <c r="AC468" s="290"/>
      <c r="AD468" s="290"/>
      <c r="AG468" s="374"/>
      <c r="AH468" s="91"/>
      <c r="AI468" s="91"/>
      <c r="AJ468" s="91"/>
      <c r="AK468" s="286"/>
      <c r="AL468" s="286"/>
      <c r="AM468" s="287"/>
      <c r="AN468" s="287"/>
      <c r="AQ468" s="261"/>
      <c r="AR468" s="261"/>
      <c r="AS468" s="371"/>
      <c r="AT468" s="91"/>
      <c r="AU468" s="91"/>
      <c r="AV468" s="91"/>
      <c r="BA468" s="261"/>
      <c r="BB468" s="371"/>
      <c r="BC468" s="371"/>
      <c r="BD468" s="91"/>
      <c r="BE468" s="91"/>
      <c r="BF468" s="91"/>
      <c r="BG468" s="91"/>
      <c r="BH468" s="91"/>
      <c r="BI468" s="91"/>
      <c r="BJ468" s="91"/>
      <c r="BM468" s="91"/>
    </row>
    <row r="469" spans="14:65" ht="15.75">
      <c r="N469" s="91"/>
      <c r="O469" s="91"/>
      <c r="P469" s="91"/>
      <c r="Q469" s="91"/>
      <c r="R469" s="91"/>
      <c r="W469" s="374"/>
      <c r="X469" s="374"/>
      <c r="Y469" s="377"/>
      <c r="Z469" s="91"/>
      <c r="AA469" s="91"/>
      <c r="AB469" s="290"/>
      <c r="AC469" s="290"/>
      <c r="AD469" s="290"/>
      <c r="AG469" s="374"/>
      <c r="AH469" s="91"/>
      <c r="AI469" s="91"/>
      <c r="AJ469" s="91"/>
      <c r="AK469" s="286"/>
      <c r="AL469" s="286"/>
      <c r="AM469" s="287"/>
      <c r="AN469" s="287"/>
      <c r="AQ469" s="261"/>
      <c r="AR469" s="261"/>
      <c r="AS469" s="371"/>
      <c r="AT469" s="91"/>
      <c r="AU469" s="91"/>
      <c r="AV469" s="91"/>
      <c r="BA469" s="261"/>
      <c r="BB469" s="371"/>
      <c r="BC469" s="371"/>
      <c r="BD469" s="91"/>
      <c r="BE469" s="91"/>
      <c r="BF469" s="91"/>
      <c r="BG469" s="91"/>
      <c r="BH469" s="91"/>
      <c r="BI469" s="91"/>
      <c r="BJ469" s="91"/>
      <c r="BM469" s="91"/>
    </row>
    <row r="470" spans="14:65" ht="15.75">
      <c r="N470" s="91"/>
      <c r="O470" s="91"/>
      <c r="P470" s="91"/>
      <c r="Q470" s="91"/>
      <c r="R470" s="91"/>
      <c r="W470" s="374"/>
      <c r="X470" s="374"/>
      <c r="Y470" s="377"/>
      <c r="Z470" s="91"/>
      <c r="AA470" s="91"/>
      <c r="AB470" s="290"/>
      <c r="AC470" s="290"/>
      <c r="AD470" s="290"/>
      <c r="AG470" s="374"/>
      <c r="AH470" s="91"/>
      <c r="AI470" s="91"/>
      <c r="AJ470" s="91"/>
      <c r="AK470" s="286"/>
      <c r="AL470" s="286"/>
      <c r="AM470" s="287"/>
      <c r="AN470" s="287"/>
      <c r="AQ470" s="261"/>
      <c r="AR470" s="261"/>
      <c r="AS470" s="371"/>
      <c r="AT470" s="91"/>
      <c r="AU470" s="91"/>
      <c r="AV470" s="91"/>
      <c r="BA470" s="261"/>
      <c r="BB470" s="371"/>
      <c r="BC470" s="371"/>
      <c r="BD470" s="91"/>
      <c r="BE470" s="91"/>
      <c r="BF470" s="91"/>
      <c r="BG470" s="91"/>
      <c r="BH470" s="91"/>
      <c r="BI470" s="91"/>
      <c r="BJ470" s="91"/>
      <c r="BM470" s="91"/>
    </row>
    <row r="471" spans="14:65" ht="15.75">
      <c r="N471" s="91"/>
      <c r="O471" s="91"/>
      <c r="P471" s="91"/>
      <c r="Q471" s="91"/>
      <c r="R471" s="91"/>
      <c r="W471" s="374"/>
      <c r="X471" s="374"/>
      <c r="Y471" s="377"/>
      <c r="Z471" s="91"/>
      <c r="AA471" s="91"/>
      <c r="AB471" s="290"/>
      <c r="AC471" s="290"/>
      <c r="AD471" s="290"/>
      <c r="AG471" s="374"/>
      <c r="AH471" s="91"/>
      <c r="AI471" s="91"/>
      <c r="AJ471" s="91"/>
      <c r="AK471" s="286"/>
      <c r="AL471" s="286"/>
      <c r="AM471" s="287"/>
      <c r="AN471" s="287"/>
      <c r="AQ471" s="261"/>
      <c r="AR471" s="261"/>
      <c r="AS471" s="371"/>
      <c r="AT471" s="91"/>
      <c r="AU471" s="91"/>
      <c r="AV471" s="91"/>
      <c r="BA471" s="261"/>
      <c r="BB471" s="371"/>
      <c r="BC471" s="371"/>
      <c r="BD471" s="91"/>
      <c r="BE471" s="91"/>
      <c r="BF471" s="91"/>
      <c r="BG471" s="91"/>
      <c r="BH471" s="91"/>
      <c r="BI471" s="91"/>
      <c r="BJ471" s="91"/>
      <c r="BM471" s="91"/>
    </row>
    <row r="472" spans="14:65" ht="15.75">
      <c r="N472" s="91"/>
      <c r="O472" s="91"/>
      <c r="P472" s="91"/>
      <c r="Q472" s="91"/>
      <c r="R472" s="91"/>
      <c r="W472" s="374"/>
      <c r="X472" s="374"/>
      <c r="Y472" s="377"/>
      <c r="Z472" s="91"/>
      <c r="AA472" s="91"/>
      <c r="AB472" s="290"/>
      <c r="AC472" s="290"/>
      <c r="AD472" s="290"/>
      <c r="AG472" s="374"/>
      <c r="AH472" s="91"/>
      <c r="AI472" s="91"/>
      <c r="AJ472" s="91"/>
      <c r="AK472" s="286"/>
      <c r="AL472" s="286"/>
      <c r="AM472" s="287"/>
      <c r="AN472" s="287"/>
      <c r="AQ472" s="261"/>
      <c r="AR472" s="261"/>
      <c r="AS472" s="371"/>
      <c r="AT472" s="91"/>
      <c r="AU472" s="91"/>
      <c r="AV472" s="91"/>
      <c r="BA472" s="261"/>
      <c r="BB472" s="371"/>
      <c r="BC472" s="371"/>
      <c r="BD472" s="91"/>
      <c r="BE472" s="91"/>
      <c r="BF472" s="91"/>
      <c r="BG472" s="91"/>
      <c r="BH472" s="91"/>
      <c r="BI472" s="91"/>
      <c r="BJ472" s="91"/>
      <c r="BM472" s="91"/>
    </row>
    <row r="473" spans="14:65" ht="15.75">
      <c r="N473" s="91"/>
      <c r="O473" s="91"/>
      <c r="P473" s="91"/>
      <c r="Q473" s="91"/>
      <c r="R473" s="91"/>
      <c r="W473" s="374"/>
      <c r="X473" s="374"/>
      <c r="Y473" s="377"/>
      <c r="Z473" s="91"/>
      <c r="AA473" s="91"/>
      <c r="AB473" s="290"/>
      <c r="AC473" s="290"/>
      <c r="AD473" s="290"/>
      <c r="AG473" s="374"/>
      <c r="AH473" s="91"/>
      <c r="AI473" s="91"/>
      <c r="AJ473" s="91"/>
      <c r="AK473" s="286"/>
      <c r="AL473" s="286"/>
      <c r="AM473" s="287"/>
      <c r="AN473" s="287"/>
      <c r="AQ473" s="261"/>
      <c r="AR473" s="261"/>
      <c r="AS473" s="371"/>
      <c r="AT473" s="91"/>
      <c r="AU473" s="91"/>
      <c r="AV473" s="91"/>
      <c r="BA473" s="261"/>
      <c r="BB473" s="371"/>
      <c r="BC473" s="371"/>
      <c r="BD473" s="91"/>
      <c r="BE473" s="91"/>
      <c r="BF473" s="91"/>
      <c r="BG473" s="91"/>
      <c r="BH473" s="91"/>
      <c r="BI473" s="91"/>
      <c r="BJ473" s="91"/>
      <c r="BM473" s="91"/>
    </row>
    <row r="474" spans="14:65" ht="15.75">
      <c r="N474" s="91"/>
      <c r="O474" s="91"/>
      <c r="P474" s="91"/>
      <c r="Q474" s="91"/>
      <c r="R474" s="91"/>
      <c r="W474" s="374"/>
      <c r="X474" s="374"/>
      <c r="Y474" s="377"/>
      <c r="Z474" s="91"/>
      <c r="AA474" s="91"/>
      <c r="AB474" s="290"/>
      <c r="AC474" s="290"/>
      <c r="AD474" s="290"/>
      <c r="AG474" s="374"/>
      <c r="AH474" s="91"/>
      <c r="AI474" s="91"/>
      <c r="AJ474" s="91"/>
      <c r="AK474" s="286"/>
      <c r="AL474" s="286"/>
      <c r="AM474" s="287"/>
      <c r="AN474" s="287"/>
      <c r="AQ474" s="261"/>
      <c r="AR474" s="261"/>
      <c r="AS474" s="371"/>
      <c r="AT474" s="91"/>
      <c r="AU474" s="91"/>
      <c r="AV474" s="91"/>
      <c r="BA474" s="261"/>
      <c r="BB474" s="371"/>
      <c r="BC474" s="371"/>
      <c r="BD474" s="91"/>
      <c r="BE474" s="91"/>
      <c r="BF474" s="91"/>
      <c r="BG474" s="91"/>
      <c r="BH474" s="91"/>
      <c r="BI474" s="91"/>
      <c r="BJ474" s="91"/>
      <c r="BM474" s="91"/>
    </row>
    <row r="475" spans="14:65" ht="15.75">
      <c r="N475" s="91"/>
      <c r="O475" s="91"/>
      <c r="P475" s="91"/>
      <c r="Q475" s="91"/>
      <c r="R475" s="91"/>
      <c r="W475" s="374"/>
      <c r="X475" s="374"/>
      <c r="Y475" s="377"/>
      <c r="Z475" s="91"/>
      <c r="AA475" s="91"/>
      <c r="AB475" s="290"/>
      <c r="AC475" s="290"/>
      <c r="AD475" s="290"/>
      <c r="AG475" s="374"/>
      <c r="AH475" s="91"/>
      <c r="AI475" s="91"/>
      <c r="AJ475" s="91"/>
      <c r="AK475" s="286"/>
      <c r="AL475" s="286"/>
      <c r="AM475" s="287"/>
      <c r="AN475" s="287"/>
      <c r="AQ475" s="261"/>
      <c r="AR475" s="261"/>
      <c r="AS475" s="371"/>
      <c r="AT475" s="91"/>
      <c r="AU475" s="91"/>
      <c r="AV475" s="91"/>
      <c r="BA475" s="261"/>
      <c r="BB475" s="371"/>
      <c r="BC475" s="371"/>
      <c r="BD475" s="91"/>
      <c r="BE475" s="91"/>
      <c r="BF475" s="91"/>
      <c r="BG475" s="91"/>
      <c r="BH475" s="91"/>
      <c r="BI475" s="91"/>
      <c r="BJ475" s="91"/>
      <c r="BM475" s="91"/>
    </row>
    <row r="476" spans="14:65" ht="15.75">
      <c r="N476" s="91"/>
      <c r="O476" s="91"/>
      <c r="P476" s="91"/>
      <c r="Q476" s="91"/>
      <c r="R476" s="91"/>
      <c r="W476" s="374"/>
      <c r="X476" s="374"/>
      <c r="Y476" s="377"/>
      <c r="Z476" s="91"/>
      <c r="AA476" s="91"/>
      <c r="AB476" s="290"/>
      <c r="AC476" s="290"/>
      <c r="AD476" s="290"/>
      <c r="AG476" s="374"/>
      <c r="AH476" s="91"/>
      <c r="AI476" s="91"/>
      <c r="AJ476" s="91"/>
      <c r="AK476" s="286"/>
      <c r="AL476" s="286"/>
      <c r="AM476" s="287"/>
      <c r="AN476" s="287"/>
      <c r="AQ476" s="261"/>
      <c r="AR476" s="261"/>
      <c r="AS476" s="371"/>
      <c r="AT476" s="91"/>
      <c r="AU476" s="91"/>
      <c r="AV476" s="91"/>
      <c r="BA476" s="261"/>
      <c r="BB476" s="371"/>
      <c r="BC476" s="371"/>
      <c r="BD476" s="91"/>
      <c r="BE476" s="91"/>
      <c r="BF476" s="91"/>
      <c r="BG476" s="91"/>
      <c r="BH476" s="91"/>
      <c r="BI476" s="91"/>
      <c r="BJ476" s="91"/>
      <c r="BM476" s="91"/>
    </row>
    <row r="477" spans="14:65" ht="15.75">
      <c r="N477" s="91"/>
      <c r="O477" s="91"/>
      <c r="P477" s="91"/>
      <c r="Q477" s="91"/>
      <c r="R477" s="357"/>
      <c r="W477" s="374"/>
      <c r="X477" s="374"/>
      <c r="Y477" s="377"/>
      <c r="Z477" s="91"/>
      <c r="AA477" s="91"/>
      <c r="AB477" s="290"/>
      <c r="AC477" s="290"/>
      <c r="AD477" s="290"/>
      <c r="AG477" s="374"/>
      <c r="AH477" s="91"/>
      <c r="AI477" s="91"/>
      <c r="AJ477" s="91"/>
      <c r="AK477" s="286"/>
      <c r="AL477" s="286"/>
      <c r="AM477" s="287"/>
      <c r="AN477" s="287"/>
      <c r="AQ477" s="261"/>
      <c r="AR477" s="261"/>
      <c r="AS477" s="371"/>
      <c r="AT477" s="91"/>
      <c r="AU477" s="91"/>
      <c r="AV477" s="91"/>
      <c r="BA477" s="261"/>
      <c r="BB477" s="371"/>
      <c r="BC477" s="371"/>
      <c r="BD477" s="91"/>
      <c r="BE477" s="91"/>
      <c r="BF477" s="91"/>
      <c r="BG477" s="91"/>
      <c r="BH477" s="91"/>
      <c r="BI477" s="91"/>
      <c r="BJ477" s="91"/>
      <c r="BM477" s="288"/>
    </row>
    <row r="478" spans="14:65" ht="15.75">
      <c r="N478" s="91"/>
      <c r="O478" s="91"/>
      <c r="P478" s="91"/>
      <c r="Q478" s="91"/>
      <c r="R478" s="357"/>
      <c r="W478" s="374"/>
      <c r="X478" s="374"/>
      <c r="Y478" s="377"/>
      <c r="Z478" s="91"/>
      <c r="AA478" s="91"/>
      <c r="AB478" s="290"/>
      <c r="AC478" s="290"/>
      <c r="AD478" s="290"/>
      <c r="AG478" s="374"/>
      <c r="AH478" s="91"/>
      <c r="AI478" s="91"/>
      <c r="AJ478" s="91"/>
      <c r="AK478" s="286"/>
      <c r="AL478" s="286"/>
      <c r="AM478" s="287"/>
      <c r="AN478" s="287"/>
      <c r="AQ478" s="261"/>
      <c r="AR478" s="261"/>
      <c r="AS478" s="371"/>
      <c r="AT478" s="91"/>
      <c r="AU478" s="91"/>
      <c r="AV478" s="91"/>
      <c r="BA478" s="261"/>
      <c r="BB478" s="371"/>
      <c r="BC478" s="371"/>
      <c r="BD478" s="91"/>
      <c r="BE478" s="91"/>
      <c r="BF478" s="91"/>
      <c r="BG478" s="91"/>
      <c r="BH478" s="91"/>
      <c r="BI478" s="91"/>
      <c r="BJ478" s="91"/>
      <c r="BM478" s="288"/>
    </row>
    <row r="479" spans="14:65" ht="15.75">
      <c r="N479" s="91"/>
      <c r="O479" s="91"/>
      <c r="P479" s="91"/>
      <c r="Q479" s="91"/>
      <c r="R479" s="357"/>
      <c r="W479" s="374"/>
      <c r="X479" s="374"/>
      <c r="Y479" s="377"/>
      <c r="Z479" s="91"/>
      <c r="AA479" s="91"/>
      <c r="AB479" s="290"/>
      <c r="AC479" s="290"/>
      <c r="AD479" s="290"/>
      <c r="AG479" s="374"/>
      <c r="AH479" s="91"/>
      <c r="AI479" s="91"/>
      <c r="AJ479" s="91"/>
      <c r="AK479" s="286"/>
      <c r="AL479" s="286"/>
      <c r="AM479" s="287"/>
      <c r="AN479" s="287"/>
      <c r="AQ479" s="261"/>
      <c r="AR479" s="261"/>
      <c r="AS479" s="371"/>
      <c r="AT479" s="91"/>
      <c r="AU479" s="91"/>
      <c r="AV479" s="91"/>
      <c r="BA479" s="261"/>
      <c r="BB479" s="371"/>
      <c r="BC479" s="371"/>
      <c r="BD479" s="91"/>
      <c r="BE479" s="91"/>
      <c r="BF479" s="91"/>
      <c r="BG479" s="91"/>
      <c r="BH479" s="91"/>
      <c r="BI479" s="91"/>
      <c r="BJ479" s="91"/>
      <c r="BM479" s="288"/>
    </row>
    <row r="480" spans="14:65" ht="15.75">
      <c r="N480" s="91"/>
      <c r="O480" s="91"/>
      <c r="P480" s="91"/>
      <c r="Q480" s="91"/>
      <c r="R480" s="357"/>
      <c r="W480" s="374"/>
      <c r="X480" s="374"/>
      <c r="Y480" s="377"/>
      <c r="Z480" s="91"/>
      <c r="AA480" s="91"/>
      <c r="AB480" s="290"/>
      <c r="AC480" s="290"/>
      <c r="AD480" s="290"/>
      <c r="AG480" s="374"/>
      <c r="AH480" s="91"/>
      <c r="AI480" s="91"/>
      <c r="AJ480" s="91"/>
      <c r="AK480" s="286"/>
      <c r="AL480" s="286"/>
      <c r="AM480" s="287"/>
      <c r="AN480" s="287"/>
      <c r="AQ480" s="261"/>
      <c r="AR480" s="261"/>
      <c r="AS480" s="371"/>
      <c r="AT480" s="91"/>
      <c r="AU480" s="91"/>
      <c r="AV480" s="91"/>
      <c r="BA480" s="261"/>
      <c r="BB480" s="371"/>
      <c r="BC480" s="371"/>
      <c r="BD480" s="91"/>
      <c r="BE480" s="91"/>
      <c r="BF480" s="91"/>
      <c r="BG480" s="91"/>
      <c r="BH480" s="91"/>
      <c r="BI480" s="91"/>
      <c r="BJ480" s="91"/>
      <c r="BM480" s="288"/>
    </row>
    <row r="481" spans="14:65" ht="15.75">
      <c r="N481" s="91"/>
      <c r="O481" s="91"/>
      <c r="P481" s="91"/>
      <c r="Q481" s="91"/>
      <c r="R481" s="357"/>
      <c r="W481" s="374"/>
      <c r="X481" s="374"/>
      <c r="Y481" s="377"/>
      <c r="Z481" s="91"/>
      <c r="AA481" s="91"/>
      <c r="AB481" s="290"/>
      <c r="AC481" s="290"/>
      <c r="AD481" s="290"/>
      <c r="AG481" s="374"/>
      <c r="AH481" s="91"/>
      <c r="AI481" s="91"/>
      <c r="AJ481" s="91"/>
      <c r="AK481" s="286"/>
      <c r="AL481" s="286"/>
      <c r="AM481" s="287"/>
      <c r="AN481" s="287"/>
      <c r="AQ481" s="261"/>
      <c r="AR481" s="261"/>
      <c r="AS481" s="371"/>
      <c r="AT481" s="91"/>
      <c r="AU481" s="91"/>
      <c r="AV481" s="91"/>
      <c r="BA481" s="261"/>
      <c r="BB481" s="371"/>
      <c r="BC481" s="371"/>
      <c r="BD481" s="91"/>
      <c r="BE481" s="91"/>
      <c r="BF481" s="91"/>
      <c r="BG481" s="91"/>
      <c r="BH481" s="91"/>
      <c r="BI481" s="91"/>
      <c r="BJ481" s="91"/>
      <c r="BM481" s="288"/>
    </row>
    <row r="482" spans="14:65" ht="15.75">
      <c r="N482" s="91"/>
      <c r="O482" s="91"/>
      <c r="P482" s="91"/>
      <c r="Q482" s="91"/>
      <c r="R482" s="357"/>
      <c r="W482" s="374"/>
      <c r="X482" s="374"/>
      <c r="Y482" s="377"/>
      <c r="Z482" s="91"/>
      <c r="AA482" s="91"/>
      <c r="AB482" s="290"/>
      <c r="AC482" s="290"/>
      <c r="AD482" s="290"/>
      <c r="AG482" s="374"/>
      <c r="AH482" s="91"/>
      <c r="AI482" s="91"/>
      <c r="AJ482" s="91"/>
      <c r="AK482" s="286"/>
      <c r="AL482" s="286"/>
      <c r="AM482" s="287"/>
      <c r="AN482" s="287"/>
      <c r="AQ482" s="261"/>
      <c r="AR482" s="261"/>
      <c r="AS482" s="371"/>
      <c r="AT482" s="91"/>
      <c r="AU482" s="91"/>
      <c r="AV482" s="91"/>
      <c r="BA482" s="261"/>
      <c r="BB482" s="371"/>
      <c r="BC482" s="371"/>
      <c r="BD482" s="91"/>
      <c r="BE482" s="91"/>
      <c r="BF482" s="91"/>
      <c r="BG482" s="91"/>
      <c r="BH482" s="91"/>
      <c r="BI482" s="91"/>
      <c r="BJ482" s="91"/>
      <c r="BM482" s="288"/>
    </row>
    <row r="483" spans="14:65" ht="15.75">
      <c r="N483" s="91"/>
      <c r="O483" s="91"/>
      <c r="P483" s="91"/>
      <c r="Q483" s="91"/>
      <c r="R483" s="357"/>
      <c r="W483" s="374"/>
      <c r="X483" s="374"/>
      <c r="Y483" s="377"/>
      <c r="Z483" s="91"/>
      <c r="AA483" s="91"/>
      <c r="AB483" s="290"/>
      <c r="AC483" s="290"/>
      <c r="AD483" s="290"/>
      <c r="AG483" s="374"/>
      <c r="AH483" s="91"/>
      <c r="AI483" s="91"/>
      <c r="AJ483" s="91"/>
      <c r="AK483" s="286"/>
      <c r="AL483" s="286"/>
      <c r="AM483" s="287"/>
      <c r="AN483" s="287"/>
      <c r="AQ483" s="261"/>
      <c r="AR483" s="261"/>
      <c r="AS483" s="371"/>
      <c r="AT483" s="91"/>
      <c r="AU483" s="91"/>
      <c r="AV483" s="91"/>
      <c r="BA483" s="261"/>
      <c r="BB483" s="371"/>
      <c r="BC483" s="371"/>
      <c r="BD483" s="91"/>
      <c r="BE483" s="91"/>
      <c r="BF483" s="91"/>
      <c r="BG483" s="91"/>
      <c r="BH483" s="91"/>
      <c r="BI483" s="91"/>
      <c r="BJ483" s="91"/>
      <c r="BM483" s="288"/>
    </row>
    <row r="484" spans="14:65" ht="15.75">
      <c r="N484" s="91"/>
      <c r="O484" s="91"/>
      <c r="P484" s="91"/>
      <c r="Q484" s="91"/>
      <c r="R484" s="357"/>
      <c r="W484" s="374"/>
      <c r="X484" s="374"/>
      <c r="Y484" s="377"/>
      <c r="Z484" s="91"/>
      <c r="AA484" s="91"/>
      <c r="AB484" s="290"/>
      <c r="AC484" s="290"/>
      <c r="AD484" s="290"/>
      <c r="AG484" s="374"/>
      <c r="AH484" s="91"/>
      <c r="AI484" s="91"/>
      <c r="AJ484" s="91"/>
      <c r="AK484" s="286"/>
      <c r="AL484" s="286"/>
      <c r="AM484" s="287"/>
      <c r="AN484" s="287"/>
      <c r="AQ484" s="261"/>
      <c r="AR484" s="261"/>
      <c r="AS484" s="371"/>
      <c r="AT484" s="91"/>
      <c r="AU484" s="91"/>
      <c r="AV484" s="91"/>
      <c r="BA484" s="261"/>
      <c r="BB484" s="371"/>
      <c r="BC484" s="371"/>
      <c r="BD484" s="91"/>
      <c r="BE484" s="91"/>
      <c r="BF484" s="91"/>
      <c r="BG484" s="91"/>
      <c r="BH484" s="91"/>
      <c r="BI484" s="91"/>
      <c r="BJ484" s="91"/>
      <c r="BM484" s="288"/>
    </row>
    <row r="485" spans="14:65" ht="15.75">
      <c r="N485" s="91"/>
      <c r="O485" s="91"/>
      <c r="P485" s="91"/>
      <c r="Q485" s="91"/>
      <c r="R485" s="357"/>
      <c r="W485" s="374"/>
      <c r="X485" s="374"/>
      <c r="Y485" s="377"/>
      <c r="Z485" s="91"/>
      <c r="AA485" s="91"/>
      <c r="AB485" s="290"/>
      <c r="AC485" s="290"/>
      <c r="AD485" s="290"/>
      <c r="AG485" s="374"/>
      <c r="AH485" s="91"/>
      <c r="AI485" s="91"/>
      <c r="AJ485" s="91"/>
      <c r="AK485" s="286"/>
      <c r="AL485" s="286"/>
      <c r="AM485" s="287"/>
      <c r="AN485" s="287"/>
      <c r="AQ485" s="261"/>
      <c r="AR485" s="261"/>
      <c r="AS485" s="371"/>
      <c r="AT485" s="91"/>
      <c r="AU485" s="91"/>
      <c r="AV485" s="91"/>
      <c r="BA485" s="261"/>
      <c r="BB485" s="371"/>
      <c r="BC485" s="371"/>
      <c r="BD485" s="91"/>
      <c r="BE485" s="91"/>
      <c r="BF485" s="91"/>
      <c r="BG485" s="91"/>
      <c r="BH485" s="91"/>
      <c r="BI485" s="91"/>
      <c r="BJ485" s="91"/>
      <c r="BM485" s="288"/>
    </row>
    <row r="486" spans="14:65" ht="15.75">
      <c r="N486" s="91"/>
      <c r="O486" s="91"/>
      <c r="P486" s="91"/>
      <c r="Q486" s="91"/>
      <c r="R486" s="357"/>
      <c r="W486" s="374"/>
      <c r="X486" s="374"/>
      <c r="Y486" s="377"/>
      <c r="Z486" s="91"/>
      <c r="AA486" s="91"/>
      <c r="AB486" s="290"/>
      <c r="AC486" s="290"/>
      <c r="AD486" s="290"/>
      <c r="AG486" s="374"/>
      <c r="AH486" s="91"/>
      <c r="AI486" s="91"/>
      <c r="AJ486" s="91"/>
      <c r="AK486" s="286"/>
      <c r="AL486" s="286"/>
      <c r="AM486" s="287"/>
      <c r="AN486" s="287"/>
      <c r="AQ486" s="261"/>
      <c r="AR486" s="261"/>
      <c r="AS486" s="371"/>
      <c r="AT486" s="91"/>
      <c r="AU486" s="91"/>
      <c r="AV486" s="91"/>
      <c r="BA486" s="261"/>
      <c r="BB486" s="371"/>
      <c r="BC486" s="371"/>
      <c r="BD486" s="91"/>
      <c r="BE486" s="91"/>
      <c r="BF486" s="91"/>
      <c r="BG486" s="91"/>
      <c r="BH486" s="91"/>
      <c r="BI486" s="91"/>
      <c r="BJ486" s="91"/>
      <c r="BM486" s="288"/>
    </row>
    <row r="487" spans="14:65" ht="15.75">
      <c r="N487" s="91"/>
      <c r="O487" s="91"/>
      <c r="P487" s="91"/>
      <c r="Q487" s="91"/>
      <c r="R487" s="357"/>
      <c r="W487" s="374"/>
      <c r="X487" s="374"/>
      <c r="Y487" s="377"/>
      <c r="Z487" s="91"/>
      <c r="AA487" s="91"/>
      <c r="AB487" s="290"/>
      <c r="AC487" s="290"/>
      <c r="AD487" s="290"/>
      <c r="AG487" s="374"/>
      <c r="AH487" s="91"/>
      <c r="AI487" s="91"/>
      <c r="AJ487" s="91"/>
      <c r="AK487" s="286"/>
      <c r="AL487" s="286"/>
      <c r="AM487" s="287"/>
      <c r="AN487" s="287"/>
      <c r="AQ487" s="261"/>
      <c r="AR487" s="261"/>
      <c r="AS487" s="371"/>
      <c r="AT487" s="91"/>
      <c r="AU487" s="91"/>
      <c r="AV487" s="91"/>
      <c r="BA487" s="261"/>
      <c r="BB487" s="371"/>
      <c r="BC487" s="371"/>
      <c r="BD487" s="91"/>
      <c r="BE487" s="91"/>
      <c r="BF487" s="91"/>
      <c r="BG487" s="91"/>
      <c r="BH487" s="91"/>
      <c r="BI487" s="91"/>
      <c r="BJ487" s="91"/>
      <c r="BM487" s="288"/>
    </row>
    <row r="488" spans="14:65" ht="15.75">
      <c r="N488" s="91"/>
      <c r="O488" s="91"/>
      <c r="P488" s="91"/>
      <c r="Q488" s="91"/>
      <c r="R488" s="357"/>
      <c r="W488" s="374"/>
      <c r="X488" s="374"/>
      <c r="Y488" s="377"/>
      <c r="Z488" s="91"/>
      <c r="AA488" s="91"/>
      <c r="AB488" s="290"/>
      <c r="AC488" s="290"/>
      <c r="AD488" s="290"/>
      <c r="AG488" s="374"/>
      <c r="AH488" s="91"/>
      <c r="AI488" s="91"/>
      <c r="AJ488" s="91"/>
      <c r="AK488" s="286"/>
      <c r="AL488" s="286"/>
      <c r="AM488" s="287"/>
      <c r="AN488" s="287"/>
      <c r="AQ488" s="261"/>
      <c r="AR488" s="261"/>
      <c r="AS488" s="371"/>
      <c r="AT488" s="91"/>
      <c r="AU488" s="91"/>
      <c r="AV488" s="91"/>
      <c r="BA488" s="261"/>
      <c r="BB488" s="371"/>
      <c r="BC488" s="371"/>
      <c r="BD488" s="91"/>
      <c r="BE488" s="91"/>
      <c r="BF488" s="91"/>
      <c r="BG488" s="91"/>
      <c r="BH488" s="91"/>
      <c r="BI488" s="91"/>
      <c r="BJ488" s="91"/>
      <c r="BM488" s="288"/>
    </row>
    <row r="489" spans="14:65" ht="15.75">
      <c r="N489" s="91"/>
      <c r="O489" s="91"/>
      <c r="P489" s="91"/>
      <c r="Q489" s="91"/>
      <c r="R489" s="357"/>
      <c r="W489" s="374"/>
      <c r="X489" s="374"/>
      <c r="Y489" s="377"/>
      <c r="Z489" s="91"/>
      <c r="AA489" s="91"/>
      <c r="AB489" s="290"/>
      <c r="AC489" s="290"/>
      <c r="AD489" s="290"/>
      <c r="AG489" s="374"/>
      <c r="AH489" s="91"/>
      <c r="AI489" s="91"/>
      <c r="AJ489" s="91"/>
      <c r="AK489" s="286"/>
      <c r="AL489" s="286"/>
      <c r="AM489" s="287"/>
      <c r="AN489" s="287"/>
      <c r="AQ489" s="261"/>
      <c r="AR489" s="261"/>
      <c r="AS489" s="371"/>
      <c r="AT489" s="91"/>
      <c r="AU489" s="91"/>
      <c r="AV489" s="91"/>
      <c r="BA489" s="261"/>
      <c r="BB489" s="371"/>
      <c r="BC489" s="371"/>
      <c r="BD489" s="91"/>
      <c r="BE489" s="91"/>
      <c r="BF489" s="91"/>
      <c r="BG489" s="91"/>
      <c r="BH489" s="91"/>
      <c r="BI489" s="91"/>
      <c r="BJ489" s="91"/>
      <c r="BM489" s="288"/>
    </row>
    <row r="490" spans="14:65" ht="15.75">
      <c r="N490" s="91"/>
      <c r="O490" s="91"/>
      <c r="P490" s="91"/>
      <c r="Q490" s="91"/>
      <c r="R490" s="357"/>
      <c r="W490" s="374"/>
      <c r="X490" s="374"/>
      <c r="Y490" s="377"/>
      <c r="Z490" s="91"/>
      <c r="AA490" s="91"/>
      <c r="AB490" s="290"/>
      <c r="AC490" s="290"/>
      <c r="AD490" s="290"/>
      <c r="AG490" s="374"/>
      <c r="AH490" s="91"/>
      <c r="AI490" s="91"/>
      <c r="AJ490" s="91"/>
      <c r="AK490" s="286"/>
      <c r="AL490" s="286"/>
      <c r="AM490" s="287"/>
      <c r="AN490" s="287"/>
      <c r="AQ490" s="261"/>
      <c r="AR490" s="261"/>
      <c r="AS490" s="371"/>
      <c r="AT490" s="91"/>
      <c r="AU490" s="91"/>
      <c r="AV490" s="91"/>
      <c r="BA490" s="261"/>
      <c r="BB490" s="371"/>
      <c r="BC490" s="371"/>
      <c r="BD490" s="91"/>
      <c r="BE490" s="91"/>
      <c r="BF490" s="91"/>
      <c r="BG490" s="91"/>
      <c r="BH490" s="91"/>
      <c r="BI490" s="91"/>
      <c r="BJ490" s="91"/>
      <c r="BM490" s="288"/>
    </row>
    <row r="491" spans="14:65" ht="15.75">
      <c r="N491" s="91"/>
      <c r="O491" s="91"/>
      <c r="P491" s="91"/>
      <c r="Q491" s="91"/>
      <c r="R491" s="357"/>
      <c r="W491" s="374"/>
      <c r="X491" s="374"/>
      <c r="Y491" s="377"/>
      <c r="Z491" s="91"/>
      <c r="AA491" s="91"/>
      <c r="AB491" s="290"/>
      <c r="AC491" s="290"/>
      <c r="AD491" s="290"/>
      <c r="AG491" s="374"/>
      <c r="AH491" s="91"/>
      <c r="AI491" s="91"/>
      <c r="AJ491" s="91"/>
      <c r="AK491" s="286"/>
      <c r="AL491" s="286"/>
      <c r="AM491" s="287"/>
      <c r="AN491" s="287"/>
      <c r="AQ491" s="261"/>
      <c r="AR491" s="261"/>
      <c r="AS491" s="371"/>
      <c r="AT491" s="91"/>
      <c r="AU491" s="91"/>
      <c r="AV491" s="91"/>
      <c r="BA491" s="261"/>
      <c r="BB491" s="371"/>
      <c r="BC491" s="371"/>
      <c r="BD491" s="91"/>
      <c r="BE491" s="91"/>
      <c r="BF491" s="91"/>
      <c r="BG491" s="91"/>
      <c r="BH491" s="91"/>
      <c r="BI491" s="91"/>
      <c r="BJ491" s="91"/>
      <c r="BM491" s="288"/>
    </row>
    <row r="492" spans="14:65" ht="15.75">
      <c r="N492" s="91"/>
      <c r="O492" s="91"/>
      <c r="P492" s="91"/>
      <c r="Q492" s="91"/>
      <c r="R492" s="357"/>
      <c r="W492" s="374"/>
      <c r="X492" s="374"/>
      <c r="Y492" s="377"/>
      <c r="Z492" s="91"/>
      <c r="AA492" s="91"/>
      <c r="AB492" s="290"/>
      <c r="AC492" s="290"/>
      <c r="AD492" s="290"/>
      <c r="AG492" s="374"/>
      <c r="AH492" s="91"/>
      <c r="AI492" s="91"/>
      <c r="AJ492" s="91"/>
      <c r="AK492" s="286"/>
      <c r="AL492" s="286"/>
      <c r="AM492" s="287"/>
      <c r="AN492" s="287"/>
      <c r="AQ492" s="261"/>
      <c r="AR492" s="261"/>
      <c r="AS492" s="371"/>
      <c r="AT492" s="91"/>
      <c r="AU492" s="91"/>
      <c r="AV492" s="91"/>
      <c r="BA492" s="261"/>
      <c r="BB492" s="371"/>
      <c r="BC492" s="371"/>
      <c r="BD492" s="91"/>
      <c r="BE492" s="91"/>
      <c r="BF492" s="91"/>
      <c r="BG492" s="91"/>
      <c r="BH492" s="91"/>
      <c r="BI492" s="91"/>
      <c r="BJ492" s="91"/>
      <c r="BM492" s="288"/>
    </row>
    <row r="493" spans="14:65" ht="15.75">
      <c r="N493" s="91"/>
      <c r="O493" s="91"/>
      <c r="P493" s="91"/>
      <c r="Q493" s="91"/>
      <c r="R493" s="357"/>
      <c r="W493" s="374"/>
      <c r="X493" s="374"/>
      <c r="Y493" s="377"/>
      <c r="Z493" s="91"/>
      <c r="AA493" s="91"/>
      <c r="AB493" s="290"/>
      <c r="AC493" s="290"/>
      <c r="AD493" s="290"/>
      <c r="AG493" s="374"/>
      <c r="AH493" s="91"/>
      <c r="AI493" s="91"/>
      <c r="AJ493" s="91"/>
      <c r="AK493" s="286"/>
      <c r="AL493" s="286"/>
      <c r="AM493" s="287"/>
      <c r="AN493" s="287"/>
      <c r="AQ493" s="261"/>
      <c r="AR493" s="261"/>
      <c r="AS493" s="371"/>
      <c r="AT493" s="91"/>
      <c r="AU493" s="91"/>
      <c r="AV493" s="91"/>
      <c r="BA493" s="261"/>
      <c r="BB493" s="371"/>
      <c r="BC493" s="371"/>
      <c r="BD493" s="91"/>
      <c r="BE493" s="91"/>
      <c r="BF493" s="91"/>
      <c r="BG493" s="91"/>
      <c r="BH493" s="91"/>
      <c r="BI493" s="91"/>
      <c r="BJ493" s="91"/>
      <c r="BM493" s="288"/>
    </row>
    <row r="494" spans="14:65" ht="15.75">
      <c r="N494" s="91"/>
      <c r="O494" s="91"/>
      <c r="P494" s="91"/>
      <c r="Q494" s="91"/>
      <c r="R494" s="357"/>
      <c r="W494" s="374"/>
      <c r="X494" s="374"/>
      <c r="Y494" s="377"/>
      <c r="Z494" s="91"/>
      <c r="AA494" s="91"/>
      <c r="AB494" s="290"/>
      <c r="AC494" s="290"/>
      <c r="AD494" s="290"/>
      <c r="AG494" s="374"/>
      <c r="AH494" s="91"/>
      <c r="AI494" s="91"/>
      <c r="AJ494" s="91"/>
      <c r="AK494" s="286"/>
      <c r="AL494" s="286"/>
      <c r="AM494" s="287"/>
      <c r="AN494" s="287"/>
      <c r="AQ494" s="261"/>
      <c r="AR494" s="261"/>
      <c r="AS494" s="371"/>
      <c r="AT494" s="91"/>
      <c r="AU494" s="91"/>
      <c r="AV494" s="91"/>
      <c r="BA494" s="261"/>
      <c r="BB494" s="371"/>
      <c r="BC494" s="371"/>
      <c r="BD494" s="91"/>
      <c r="BE494" s="91"/>
      <c r="BF494" s="91"/>
      <c r="BG494" s="91"/>
      <c r="BH494" s="91"/>
      <c r="BI494" s="91"/>
      <c r="BJ494" s="91"/>
      <c r="BM494" s="288"/>
    </row>
    <row r="495" spans="14:65" ht="15.75">
      <c r="N495" s="91"/>
      <c r="O495" s="91"/>
      <c r="P495" s="91"/>
      <c r="Q495" s="91"/>
      <c r="R495" s="357"/>
      <c r="W495" s="374"/>
      <c r="X495" s="374"/>
      <c r="Y495" s="377"/>
      <c r="Z495" s="91"/>
      <c r="AA495" s="91"/>
      <c r="AB495" s="290"/>
      <c r="AC495" s="290"/>
      <c r="AD495" s="290"/>
      <c r="AG495" s="374"/>
      <c r="AH495" s="91"/>
      <c r="AI495" s="91"/>
      <c r="AJ495" s="91"/>
      <c r="AK495" s="286"/>
      <c r="AL495" s="286"/>
      <c r="AM495" s="287"/>
      <c r="AN495" s="287"/>
      <c r="AQ495" s="261"/>
      <c r="AR495" s="261"/>
      <c r="AS495" s="371"/>
      <c r="AT495" s="91"/>
      <c r="AU495" s="91"/>
      <c r="AV495" s="91"/>
      <c r="BA495" s="261"/>
      <c r="BB495" s="371"/>
      <c r="BC495" s="371"/>
      <c r="BD495" s="91"/>
      <c r="BE495" s="91"/>
      <c r="BF495" s="91"/>
      <c r="BG495" s="91"/>
      <c r="BH495" s="91"/>
      <c r="BI495" s="91"/>
      <c r="BJ495" s="91"/>
      <c r="BM495" s="288"/>
    </row>
    <row r="496" spans="14:65" ht="15.75">
      <c r="N496" s="91"/>
      <c r="O496" s="91"/>
      <c r="P496" s="91"/>
      <c r="Q496" s="91"/>
      <c r="R496" s="357"/>
      <c r="W496" s="374"/>
      <c r="X496" s="374"/>
      <c r="Y496" s="377"/>
      <c r="Z496" s="91"/>
      <c r="AA496" s="91"/>
      <c r="AB496" s="290"/>
      <c r="AC496" s="290"/>
      <c r="AD496" s="290"/>
      <c r="AG496" s="374"/>
      <c r="AH496" s="91"/>
      <c r="AI496" s="91"/>
      <c r="AJ496" s="91"/>
      <c r="AK496" s="286"/>
      <c r="AL496" s="286"/>
      <c r="AM496" s="287"/>
      <c r="AN496" s="287"/>
      <c r="AQ496" s="261"/>
      <c r="AR496" s="261"/>
      <c r="AS496" s="371"/>
      <c r="AT496" s="91"/>
      <c r="AU496" s="91"/>
      <c r="AV496" s="91"/>
      <c r="BA496" s="261"/>
      <c r="BB496" s="371"/>
      <c r="BC496" s="371"/>
      <c r="BD496" s="91"/>
      <c r="BE496" s="91"/>
      <c r="BF496" s="91"/>
      <c r="BG496" s="91"/>
      <c r="BH496" s="91"/>
      <c r="BI496" s="91"/>
      <c r="BJ496" s="91"/>
      <c r="BM496" s="288"/>
    </row>
    <row r="497" spans="14:65" ht="15.75">
      <c r="N497" s="91"/>
      <c r="O497" s="91"/>
      <c r="P497" s="91"/>
      <c r="Q497" s="91"/>
      <c r="R497" s="357"/>
      <c r="W497" s="374"/>
      <c r="X497" s="374"/>
      <c r="Y497" s="377"/>
      <c r="Z497" s="91"/>
      <c r="AA497" s="91"/>
      <c r="AB497" s="290"/>
      <c r="AC497" s="290"/>
      <c r="AD497" s="290"/>
      <c r="AG497" s="374"/>
      <c r="AH497" s="91"/>
      <c r="AI497" s="91"/>
      <c r="AJ497" s="91"/>
      <c r="AK497" s="286"/>
      <c r="AL497" s="286"/>
      <c r="AM497" s="287"/>
      <c r="AN497" s="287"/>
      <c r="AQ497" s="261"/>
      <c r="AR497" s="261"/>
      <c r="AS497" s="371"/>
      <c r="AT497" s="91"/>
      <c r="AU497" s="91"/>
      <c r="AV497" s="91"/>
      <c r="BA497" s="261"/>
      <c r="BB497" s="371"/>
      <c r="BC497" s="371"/>
      <c r="BD497" s="91"/>
      <c r="BE497" s="91"/>
      <c r="BF497" s="91"/>
      <c r="BG497" s="91"/>
      <c r="BH497" s="91"/>
      <c r="BI497" s="91"/>
      <c r="BJ497" s="91"/>
      <c r="BM497" s="288"/>
    </row>
    <row r="498" spans="14:65" ht="15.75">
      <c r="N498" s="91"/>
      <c r="O498" s="91"/>
      <c r="P498" s="91"/>
      <c r="Q498" s="91"/>
      <c r="R498" s="357"/>
      <c r="W498" s="374"/>
      <c r="X498" s="374"/>
      <c r="Y498" s="377"/>
      <c r="Z498" s="91"/>
      <c r="AA498" s="91"/>
      <c r="AB498" s="290"/>
      <c r="AC498" s="290"/>
      <c r="AD498" s="290"/>
      <c r="AG498" s="374"/>
      <c r="AH498" s="91"/>
      <c r="AI498" s="91"/>
      <c r="AJ498" s="91"/>
      <c r="AK498" s="286"/>
      <c r="AL498" s="286"/>
      <c r="AM498" s="287"/>
      <c r="AN498" s="287"/>
      <c r="AQ498" s="261"/>
      <c r="AR498" s="261"/>
      <c r="AS498" s="371"/>
      <c r="AT498" s="91"/>
      <c r="AU498" s="91"/>
      <c r="AV498" s="91"/>
      <c r="BA498" s="261"/>
      <c r="BB498" s="371"/>
      <c r="BC498" s="371"/>
      <c r="BD498" s="91"/>
      <c r="BE498" s="91"/>
      <c r="BF498" s="91"/>
      <c r="BG498" s="91"/>
      <c r="BH498" s="91"/>
      <c r="BI498" s="91"/>
      <c r="BJ498" s="91"/>
      <c r="BM498" s="288"/>
    </row>
    <row r="499" spans="14:65" ht="15.75">
      <c r="N499" s="91"/>
      <c r="O499" s="91"/>
      <c r="P499" s="91"/>
      <c r="Q499" s="91"/>
      <c r="R499" s="357"/>
      <c r="W499" s="374"/>
      <c r="X499" s="374"/>
      <c r="Y499" s="377"/>
      <c r="Z499" s="91"/>
      <c r="AA499" s="91"/>
      <c r="AB499" s="290"/>
      <c r="AC499" s="290"/>
      <c r="AD499" s="290"/>
      <c r="AG499" s="374"/>
      <c r="AH499" s="91"/>
      <c r="AI499" s="91"/>
      <c r="AJ499" s="91"/>
      <c r="AK499" s="286"/>
      <c r="AL499" s="286"/>
      <c r="AM499" s="287"/>
      <c r="AN499" s="287"/>
      <c r="AQ499" s="261"/>
      <c r="AR499" s="261"/>
      <c r="AS499" s="371"/>
      <c r="AT499" s="91"/>
      <c r="AU499" s="91"/>
      <c r="AV499" s="91"/>
      <c r="BA499" s="261"/>
      <c r="BB499" s="371"/>
      <c r="BC499" s="371"/>
      <c r="BD499" s="91"/>
      <c r="BE499" s="91"/>
      <c r="BF499" s="91"/>
      <c r="BG499" s="91"/>
      <c r="BH499" s="91"/>
      <c r="BI499" s="91"/>
      <c r="BJ499" s="91"/>
      <c r="BM499" s="288"/>
    </row>
    <row r="500" spans="14:65" ht="15.75">
      <c r="N500" s="91"/>
      <c r="O500" s="91"/>
      <c r="P500" s="91"/>
      <c r="Q500" s="91"/>
      <c r="R500" s="357"/>
      <c r="W500" s="374"/>
      <c r="X500" s="374"/>
      <c r="Y500" s="377"/>
      <c r="Z500" s="91"/>
      <c r="AA500" s="91"/>
      <c r="AB500" s="290"/>
      <c r="AC500" s="290"/>
      <c r="AD500" s="290"/>
      <c r="AG500" s="374"/>
      <c r="AH500" s="91"/>
      <c r="AI500" s="91"/>
      <c r="AJ500" s="91"/>
      <c r="AK500" s="286"/>
      <c r="AL500" s="286"/>
      <c r="AM500" s="287"/>
      <c r="AN500" s="287"/>
      <c r="AQ500" s="261"/>
      <c r="AR500" s="261"/>
      <c r="AS500" s="371"/>
      <c r="AT500" s="91"/>
      <c r="AU500" s="91"/>
      <c r="AV500" s="91"/>
      <c r="BA500" s="261"/>
      <c r="BB500" s="371"/>
      <c r="BC500" s="371"/>
      <c r="BD500" s="91"/>
      <c r="BE500" s="91"/>
      <c r="BF500" s="91"/>
      <c r="BG500" s="91"/>
      <c r="BH500" s="91"/>
      <c r="BI500" s="91"/>
      <c r="BJ500" s="91"/>
      <c r="BM500" s="288"/>
    </row>
    <row r="501" spans="14:65" ht="15.75">
      <c r="N501" s="91"/>
      <c r="O501" s="91"/>
      <c r="P501" s="91"/>
      <c r="Q501" s="91"/>
      <c r="R501" s="357"/>
      <c r="W501" s="374"/>
      <c r="X501" s="374"/>
      <c r="Y501" s="377"/>
      <c r="Z501" s="91"/>
      <c r="AA501" s="91"/>
      <c r="AB501" s="290"/>
      <c r="AC501" s="290"/>
      <c r="AD501" s="290"/>
      <c r="AG501" s="374"/>
      <c r="AH501" s="91"/>
      <c r="AI501" s="91"/>
      <c r="AJ501" s="91"/>
      <c r="AK501" s="286"/>
      <c r="AL501" s="286"/>
      <c r="AM501" s="287"/>
      <c r="AN501" s="287"/>
      <c r="AQ501" s="261"/>
      <c r="AR501" s="261"/>
      <c r="AS501" s="371"/>
      <c r="AT501" s="91"/>
      <c r="AU501" s="91"/>
      <c r="AV501" s="91"/>
      <c r="BA501" s="261"/>
      <c r="BB501" s="371"/>
      <c r="BC501" s="371"/>
      <c r="BD501" s="91"/>
      <c r="BE501" s="91"/>
      <c r="BF501" s="91"/>
      <c r="BG501" s="91"/>
      <c r="BH501" s="91"/>
      <c r="BI501" s="91"/>
      <c r="BJ501" s="91"/>
      <c r="BM501" s="288"/>
    </row>
    <row r="502" spans="14:65" ht="15.75">
      <c r="N502" s="91"/>
      <c r="P502" s="91"/>
      <c r="Q502" s="91"/>
      <c r="R502" s="357"/>
      <c r="W502" s="374"/>
      <c r="X502" s="374"/>
      <c r="Y502" s="377"/>
      <c r="Z502" s="91"/>
      <c r="AA502" s="91"/>
      <c r="AB502" s="290"/>
      <c r="AC502" s="290"/>
      <c r="AD502" s="290"/>
      <c r="AG502" s="374"/>
      <c r="AH502" s="91"/>
      <c r="AI502" s="91"/>
      <c r="AJ502" s="91"/>
      <c r="AK502" s="286"/>
      <c r="AL502" s="286"/>
      <c r="AM502" s="287"/>
      <c r="AN502" s="287"/>
      <c r="AQ502" s="261"/>
      <c r="AR502" s="261"/>
      <c r="AS502" s="371"/>
      <c r="AT502" s="91"/>
      <c r="AU502" s="91"/>
      <c r="AV502" s="91"/>
      <c r="BA502" s="261"/>
      <c r="BB502" s="371"/>
      <c r="BC502" s="371"/>
      <c r="BD502" s="91"/>
      <c r="BE502" s="91"/>
      <c r="BF502" s="91"/>
      <c r="BG502" s="91"/>
      <c r="BH502" s="91"/>
      <c r="BI502" s="91"/>
      <c r="BJ502" s="91"/>
      <c r="BM502" s="288"/>
    </row>
    <row r="503" spans="14:65" ht="15.75">
      <c r="N503" s="91"/>
      <c r="P503" s="91"/>
      <c r="Q503" s="91"/>
      <c r="R503" s="357"/>
      <c r="W503" s="374"/>
      <c r="X503" s="374"/>
      <c r="Y503" s="377"/>
      <c r="Z503" s="91"/>
      <c r="AA503" s="91"/>
      <c r="AB503" s="290"/>
      <c r="AC503" s="290"/>
      <c r="AD503" s="290"/>
      <c r="AG503" s="374"/>
      <c r="AH503" s="91"/>
      <c r="AI503" s="91"/>
      <c r="AJ503" s="91"/>
      <c r="AK503" s="286"/>
      <c r="AL503" s="286"/>
      <c r="AM503" s="287"/>
      <c r="AN503" s="287"/>
      <c r="AQ503" s="261"/>
      <c r="AR503" s="261"/>
      <c r="AS503" s="371"/>
      <c r="AT503" s="91"/>
      <c r="AU503" s="91"/>
      <c r="AV503" s="91"/>
      <c r="BA503" s="261"/>
      <c r="BB503" s="371"/>
      <c r="BC503" s="371"/>
      <c r="BD503" s="91"/>
      <c r="BE503" s="91"/>
      <c r="BF503" s="91"/>
      <c r="BG503" s="91"/>
      <c r="BH503" s="91"/>
      <c r="BI503" s="91"/>
      <c r="BJ503" s="91"/>
      <c r="BM503" s="288"/>
    </row>
    <row r="504" spans="14:65" ht="15.75">
      <c r="N504" s="91"/>
      <c r="P504" s="91"/>
      <c r="Q504" s="91"/>
      <c r="R504" s="357"/>
      <c r="W504" s="374"/>
      <c r="X504" s="374"/>
      <c r="Y504" s="377"/>
      <c r="Z504" s="91"/>
      <c r="AA504" s="91"/>
      <c r="AB504" s="290"/>
      <c r="AC504" s="290"/>
      <c r="AD504" s="290"/>
      <c r="AG504" s="374"/>
      <c r="AH504" s="91"/>
      <c r="AI504" s="91"/>
      <c r="AJ504" s="91"/>
      <c r="AK504" s="286"/>
      <c r="AL504" s="286"/>
      <c r="AM504" s="287"/>
      <c r="AN504" s="287"/>
      <c r="AQ504" s="261"/>
      <c r="AR504" s="261"/>
      <c r="AS504" s="371"/>
      <c r="AT504" s="91"/>
      <c r="AU504" s="91"/>
      <c r="AV504" s="91"/>
      <c r="BA504" s="261"/>
      <c r="BB504" s="371"/>
      <c r="BC504" s="371"/>
      <c r="BD504" s="91"/>
      <c r="BE504" s="91"/>
      <c r="BF504" s="91"/>
      <c r="BG504" s="91"/>
      <c r="BH504" s="91"/>
      <c r="BI504" s="91"/>
      <c r="BJ504" s="91"/>
      <c r="BM504" s="288"/>
    </row>
    <row r="505" spans="14:65" ht="15.75">
      <c r="N505" s="91"/>
      <c r="P505" s="91"/>
      <c r="Q505" s="91"/>
      <c r="R505" s="357"/>
      <c r="W505" s="374"/>
      <c r="X505" s="374"/>
      <c r="Y505" s="377"/>
      <c r="Z505" s="91"/>
      <c r="AA505" s="91"/>
      <c r="AB505" s="290"/>
      <c r="AC505" s="290"/>
      <c r="AD505" s="290"/>
      <c r="AG505" s="374"/>
      <c r="AH505" s="91"/>
      <c r="AI505" s="91"/>
      <c r="AJ505" s="91"/>
      <c r="AK505" s="286"/>
      <c r="AL505" s="286"/>
      <c r="AM505" s="287"/>
      <c r="AN505" s="287"/>
      <c r="AQ505" s="261"/>
      <c r="AR505" s="261"/>
      <c r="AS505" s="371"/>
      <c r="AT505" s="91"/>
      <c r="AU505" s="91"/>
      <c r="AV505" s="91"/>
      <c r="BA505" s="261"/>
      <c r="BB505" s="371"/>
      <c r="BC505" s="371"/>
      <c r="BD505" s="91"/>
      <c r="BE505" s="91"/>
      <c r="BF505" s="91"/>
      <c r="BG505" s="91"/>
      <c r="BH505" s="91"/>
      <c r="BI505" s="91"/>
      <c r="BJ505" s="91"/>
      <c r="BM505" s="288"/>
    </row>
    <row r="506" spans="14:65" ht="15.75">
      <c r="N506" s="91"/>
      <c r="P506" s="91"/>
      <c r="Q506" s="91"/>
      <c r="R506" s="357"/>
      <c r="W506" s="374"/>
      <c r="X506" s="374"/>
      <c r="Y506" s="377"/>
      <c r="Z506" s="91"/>
      <c r="AA506" s="91"/>
      <c r="AB506" s="290"/>
      <c r="AC506" s="290"/>
      <c r="AD506" s="290"/>
      <c r="AG506" s="374"/>
      <c r="AH506" s="91"/>
      <c r="AI506" s="91"/>
      <c r="AJ506" s="91"/>
      <c r="AK506" s="286"/>
      <c r="AL506" s="286"/>
      <c r="AM506" s="287"/>
      <c r="AN506" s="287"/>
      <c r="AQ506" s="261"/>
      <c r="AR506" s="261"/>
      <c r="AS506" s="371"/>
      <c r="AT506" s="91"/>
      <c r="AU506" s="91"/>
      <c r="AV506" s="91"/>
      <c r="BA506" s="261"/>
      <c r="BB506" s="371"/>
      <c r="BC506" s="371"/>
      <c r="BD506" s="91"/>
      <c r="BE506" s="91"/>
      <c r="BF506" s="91"/>
      <c r="BG506" s="91"/>
      <c r="BH506" s="91"/>
      <c r="BI506" s="91"/>
      <c r="BJ506" s="91"/>
      <c r="BM506" s="288"/>
    </row>
    <row r="507" spans="14:65" ht="15.75">
      <c r="N507" s="91"/>
      <c r="P507" s="91"/>
      <c r="Q507" s="91"/>
      <c r="R507" s="357"/>
      <c r="W507" s="374"/>
      <c r="X507" s="374"/>
      <c r="Y507" s="377"/>
      <c r="Z507" s="91"/>
      <c r="AA507" s="91"/>
      <c r="AB507" s="290"/>
      <c r="AC507" s="290"/>
      <c r="AD507" s="290"/>
      <c r="AG507" s="374"/>
      <c r="AH507" s="91"/>
      <c r="AI507" s="91"/>
      <c r="AJ507" s="91"/>
      <c r="AK507" s="286"/>
      <c r="AL507" s="286"/>
      <c r="AM507" s="287"/>
      <c r="AN507" s="287"/>
      <c r="AQ507" s="261"/>
      <c r="AR507" s="261"/>
      <c r="AS507" s="371"/>
      <c r="AT507" s="91"/>
      <c r="AU507" s="91"/>
      <c r="AV507" s="91"/>
      <c r="BA507" s="261"/>
      <c r="BB507" s="371"/>
      <c r="BC507" s="371"/>
      <c r="BD507" s="91"/>
      <c r="BE507" s="91"/>
      <c r="BF507" s="91"/>
      <c r="BG507" s="91"/>
      <c r="BH507" s="91"/>
      <c r="BI507" s="91"/>
      <c r="BJ507" s="91"/>
      <c r="BM507" s="288"/>
    </row>
    <row r="508" spans="14:65" ht="15.75">
      <c r="N508" s="91"/>
      <c r="P508" s="91"/>
      <c r="Q508" s="91"/>
      <c r="R508" s="357"/>
      <c r="Y508" s="374"/>
      <c r="Z508" s="91"/>
      <c r="AA508" s="91"/>
      <c r="AB508" s="278"/>
      <c r="AC508" s="290"/>
      <c r="AD508" s="290"/>
      <c r="AH508" s="374"/>
      <c r="AI508" s="91"/>
      <c r="AJ508" s="91"/>
      <c r="AK508" s="91"/>
      <c r="AL508" s="286"/>
      <c r="AM508" s="287"/>
      <c r="AN508" s="287"/>
      <c r="AS508" s="261"/>
      <c r="AT508" s="371"/>
      <c r="AU508" s="91"/>
      <c r="AV508" s="91"/>
      <c r="BB508" s="261"/>
      <c r="BC508" s="261"/>
      <c r="BD508" s="371"/>
      <c r="BE508" s="91"/>
      <c r="BF508" s="91"/>
      <c r="BG508" s="91"/>
      <c r="BH508" s="91"/>
      <c r="BI508" s="91"/>
      <c r="BJ508" s="91"/>
      <c r="BM508" s="290"/>
    </row>
    <row r="509" spans="14:65" ht="15.75">
      <c r="N509" s="91"/>
      <c r="P509" s="91"/>
      <c r="Q509" s="91"/>
      <c r="R509" s="357"/>
      <c r="Y509" s="374"/>
      <c r="Z509" s="91"/>
      <c r="AA509" s="91"/>
      <c r="AB509" s="278"/>
      <c r="AC509" s="290"/>
      <c r="AD509" s="290"/>
      <c r="AH509" s="374"/>
      <c r="AI509" s="91"/>
      <c r="AJ509" s="91"/>
      <c r="AK509" s="91"/>
      <c r="AL509" s="286"/>
      <c r="AM509" s="287"/>
      <c r="AN509" s="287"/>
      <c r="AS509" s="261"/>
      <c r="AT509" s="371"/>
      <c r="AU509" s="91"/>
      <c r="AV509" s="91"/>
      <c r="BB509" s="261"/>
      <c r="BC509" s="261"/>
      <c r="BD509" s="371"/>
      <c r="BE509" s="91"/>
      <c r="BF509" s="91"/>
      <c r="BG509" s="91"/>
      <c r="BH509" s="91"/>
      <c r="BI509" s="91"/>
      <c r="BJ509" s="91"/>
      <c r="BM509" s="290"/>
    </row>
    <row r="510" spans="14:65" ht="15.75">
      <c r="N510" s="91"/>
      <c r="P510" s="91"/>
      <c r="Q510" s="91"/>
      <c r="R510" s="357"/>
      <c r="Y510" s="374"/>
      <c r="Z510" s="91"/>
      <c r="AA510" s="91"/>
      <c r="AB510" s="278"/>
      <c r="AC510" s="290"/>
      <c r="AD510" s="290"/>
      <c r="AH510" s="374"/>
      <c r="AI510" s="91"/>
      <c r="AJ510" s="91"/>
      <c r="AK510" s="91"/>
      <c r="AL510" s="286"/>
      <c r="AM510" s="287"/>
      <c r="AN510" s="287"/>
      <c r="AS510" s="261"/>
      <c r="AT510" s="371"/>
      <c r="AU510" s="91"/>
      <c r="AV510" s="91"/>
      <c r="BB510" s="261"/>
      <c r="BC510" s="261"/>
      <c r="BD510" s="371"/>
      <c r="BE510" s="91"/>
      <c r="BF510" s="91"/>
      <c r="BG510" s="91"/>
      <c r="BH510" s="91"/>
      <c r="BI510" s="91"/>
      <c r="BJ510" s="91"/>
      <c r="BM510" s="290"/>
    </row>
    <row r="511" spans="14:65" ht="15.75">
      <c r="N511" s="91"/>
      <c r="P511" s="91"/>
      <c r="Q511" s="91"/>
      <c r="R511" s="357"/>
      <c r="Y511" s="374"/>
      <c r="Z511" s="91"/>
      <c r="AA511" s="91"/>
      <c r="AB511" s="278"/>
      <c r="AC511" s="290"/>
      <c r="AD511" s="290"/>
      <c r="AH511" s="374"/>
      <c r="AI511" s="91"/>
      <c r="AJ511" s="91"/>
      <c r="AK511" s="91"/>
      <c r="AL511" s="286"/>
      <c r="AM511" s="287"/>
      <c r="AN511" s="287"/>
      <c r="AS511" s="261"/>
      <c r="AT511" s="371"/>
      <c r="AU511" s="91"/>
      <c r="AV511" s="91"/>
      <c r="BB511" s="261"/>
      <c r="BC511" s="261"/>
      <c r="BD511" s="371"/>
      <c r="BE511" s="91"/>
      <c r="BF511" s="91"/>
      <c r="BG511" s="91"/>
      <c r="BH511" s="91"/>
      <c r="BI511" s="91"/>
      <c r="BJ511" s="91"/>
      <c r="BM511" s="290"/>
    </row>
    <row r="512" spans="14:65" ht="15.75">
      <c r="N512" s="91"/>
      <c r="P512" s="91"/>
      <c r="Q512" s="91"/>
      <c r="R512" s="357"/>
      <c r="Y512" s="374"/>
      <c r="Z512" s="91"/>
      <c r="AA512" s="91"/>
      <c r="AB512" s="278"/>
      <c r="AC512" s="290"/>
      <c r="AD512" s="290"/>
      <c r="AH512" s="374"/>
      <c r="AI512" s="91"/>
      <c r="AJ512" s="91"/>
      <c r="AK512" s="91"/>
      <c r="AL512" s="286"/>
      <c r="AM512" s="287"/>
      <c r="AN512" s="287"/>
      <c r="AS512" s="261"/>
      <c r="AT512" s="371"/>
      <c r="AU512" s="91"/>
      <c r="AV512" s="91"/>
      <c r="BB512" s="261"/>
      <c r="BC512" s="261"/>
      <c r="BD512" s="371"/>
      <c r="BE512" s="91"/>
      <c r="BF512" s="91"/>
      <c r="BG512" s="91"/>
      <c r="BH512" s="91"/>
      <c r="BI512" s="91"/>
      <c r="BJ512" s="91"/>
      <c r="BM512" s="290"/>
    </row>
    <row r="513" spans="14:65" ht="15.75">
      <c r="N513" s="91"/>
      <c r="P513" s="91"/>
      <c r="Q513" s="91"/>
      <c r="R513" s="357"/>
      <c r="Y513" s="374"/>
      <c r="Z513" s="91"/>
      <c r="AA513" s="91"/>
      <c r="AB513" s="278"/>
      <c r="AC513" s="290"/>
      <c r="AD513" s="290"/>
      <c r="AH513" s="374"/>
      <c r="AI513" s="91"/>
      <c r="AJ513" s="91"/>
      <c r="AK513" s="91"/>
      <c r="AL513" s="286"/>
      <c r="AM513" s="287"/>
      <c r="AN513" s="287"/>
      <c r="AS513" s="261"/>
      <c r="AT513" s="371"/>
      <c r="AU513" s="91"/>
      <c r="AV513" s="91"/>
      <c r="BB513" s="261"/>
      <c r="BC513" s="261"/>
      <c r="BD513" s="371"/>
      <c r="BE513" s="91"/>
      <c r="BF513" s="91"/>
      <c r="BG513" s="91"/>
      <c r="BH513" s="91"/>
      <c r="BI513" s="91"/>
      <c r="BJ513" s="91"/>
      <c r="BM513" s="290"/>
    </row>
    <row r="514" spans="14:65" ht="15.75">
      <c r="N514" s="91"/>
      <c r="P514" s="91"/>
      <c r="Q514" s="91"/>
      <c r="R514" s="357"/>
      <c r="Y514" s="374"/>
      <c r="Z514" s="91"/>
      <c r="AA514" s="91"/>
      <c r="AB514" s="278"/>
      <c r="AC514" s="290"/>
      <c r="AD514" s="290"/>
      <c r="AH514" s="374"/>
      <c r="AI514" s="91"/>
      <c r="AJ514" s="91"/>
      <c r="AK514" s="91"/>
      <c r="AL514" s="286"/>
      <c r="AM514" s="287"/>
      <c r="AN514" s="287"/>
      <c r="AS514" s="261"/>
      <c r="AT514" s="371"/>
      <c r="AU514" s="91"/>
      <c r="AV514" s="91"/>
      <c r="BB514" s="261"/>
      <c r="BC514" s="261"/>
      <c r="BD514" s="371"/>
      <c r="BE514" s="91"/>
      <c r="BF514" s="91"/>
      <c r="BG514" s="91"/>
      <c r="BH514" s="91"/>
      <c r="BI514" s="91"/>
      <c r="BJ514" s="91"/>
      <c r="BM514" s="290"/>
    </row>
    <row r="515" spans="14:65" ht="15.75">
      <c r="N515" s="91"/>
      <c r="P515" s="91"/>
      <c r="Q515" s="91"/>
      <c r="R515" s="357"/>
      <c r="Y515" s="374"/>
      <c r="Z515" s="91"/>
      <c r="AA515" s="91"/>
      <c r="AB515" s="278"/>
      <c r="AC515" s="290"/>
      <c r="AD515" s="290"/>
      <c r="AH515" s="374"/>
      <c r="AI515" s="91"/>
      <c r="AJ515" s="91"/>
      <c r="AK515" s="91"/>
      <c r="AL515" s="286"/>
      <c r="AM515" s="287"/>
      <c r="AN515" s="287"/>
      <c r="AS515" s="261"/>
      <c r="AT515" s="371"/>
      <c r="AU515" s="91"/>
      <c r="AV515" s="91"/>
      <c r="BB515" s="261"/>
      <c r="BC515" s="261"/>
      <c r="BD515" s="371"/>
      <c r="BE515" s="91"/>
      <c r="BF515" s="91"/>
      <c r="BG515" s="91"/>
      <c r="BH515" s="91"/>
      <c r="BI515" s="91"/>
      <c r="BJ515" s="91"/>
      <c r="BM515" s="290"/>
    </row>
    <row r="516" spans="14:65" ht="15.75">
      <c r="N516" s="91"/>
      <c r="P516" s="91"/>
      <c r="Q516" s="91"/>
      <c r="R516" s="357"/>
      <c r="Y516" s="374"/>
      <c r="Z516" s="91"/>
      <c r="AA516" s="91"/>
      <c r="AB516" s="278"/>
      <c r="AC516" s="290"/>
      <c r="AD516" s="290"/>
      <c r="AH516" s="374"/>
      <c r="AI516" s="91"/>
      <c r="AJ516" s="91"/>
      <c r="AK516" s="91"/>
      <c r="AL516" s="286"/>
      <c r="AM516" s="287"/>
      <c r="AN516" s="287"/>
      <c r="AS516" s="261"/>
      <c r="AT516" s="371"/>
      <c r="AU516" s="91"/>
      <c r="AV516" s="91"/>
      <c r="BB516" s="261"/>
      <c r="BC516" s="261"/>
      <c r="BD516" s="371"/>
      <c r="BE516" s="91"/>
      <c r="BF516" s="91"/>
      <c r="BG516" s="91"/>
      <c r="BH516" s="91"/>
      <c r="BI516" s="91"/>
      <c r="BJ516" s="91"/>
      <c r="BM516" s="290"/>
    </row>
    <row r="517" spans="14:65" ht="15.75">
      <c r="N517" s="91"/>
      <c r="P517" s="91"/>
      <c r="Q517" s="91"/>
      <c r="R517" s="357"/>
      <c r="Y517" s="374"/>
      <c r="Z517" s="91"/>
      <c r="AA517" s="91"/>
      <c r="AB517" s="278"/>
      <c r="AC517" s="290"/>
      <c r="AD517" s="290"/>
      <c r="AH517" s="374"/>
      <c r="AI517" s="91"/>
      <c r="AJ517" s="91"/>
      <c r="AK517" s="91"/>
      <c r="AL517" s="286"/>
      <c r="AM517" s="287"/>
      <c r="AN517" s="287"/>
      <c r="AS517" s="261"/>
      <c r="AT517" s="371"/>
      <c r="AU517" s="91"/>
      <c r="AV517" s="91"/>
      <c r="BB517" s="261"/>
      <c r="BC517" s="261"/>
      <c r="BD517" s="371"/>
      <c r="BE517" s="91"/>
      <c r="BF517" s="91"/>
      <c r="BG517" s="91"/>
      <c r="BH517" s="91"/>
      <c r="BI517" s="91"/>
      <c r="BJ517" s="91"/>
      <c r="BM517" s="290"/>
    </row>
    <row r="518" spans="14:65" ht="15.75">
      <c r="N518" s="91"/>
      <c r="P518" s="91"/>
      <c r="Q518" s="91"/>
      <c r="R518" s="357"/>
      <c r="Y518" s="374"/>
      <c r="Z518" s="91"/>
      <c r="AA518" s="91"/>
      <c r="AB518" s="278"/>
      <c r="AC518" s="290"/>
      <c r="AD518" s="290"/>
      <c r="AH518" s="374"/>
      <c r="AI518" s="91"/>
      <c r="AJ518" s="91"/>
      <c r="AK518" s="91"/>
      <c r="AL518" s="286"/>
      <c r="AM518" s="287"/>
      <c r="AN518" s="287"/>
      <c r="AS518" s="261"/>
      <c r="AT518" s="371"/>
      <c r="AU518" s="91"/>
      <c r="AV518" s="91"/>
      <c r="BB518" s="261"/>
      <c r="BC518" s="261"/>
      <c r="BD518" s="371"/>
      <c r="BE518" s="91"/>
      <c r="BF518" s="91"/>
      <c r="BG518" s="91"/>
      <c r="BH518" s="91"/>
      <c r="BI518" s="91"/>
      <c r="BJ518" s="91"/>
      <c r="BM518" s="290"/>
    </row>
    <row r="519" spans="14:65" ht="15.75">
      <c r="N519" s="91"/>
      <c r="P519" s="91"/>
      <c r="Q519" s="91"/>
      <c r="R519" s="357"/>
      <c r="Y519" s="374"/>
      <c r="Z519" s="91"/>
      <c r="AA519" s="91"/>
      <c r="AB519" s="278"/>
      <c r="AC519" s="290"/>
      <c r="AD519" s="290"/>
      <c r="AH519" s="374"/>
      <c r="AI519" s="91"/>
      <c r="AJ519" s="91"/>
      <c r="AK519" s="91"/>
      <c r="AL519" s="286"/>
      <c r="AM519" s="287"/>
      <c r="AN519" s="287"/>
      <c r="AS519" s="261"/>
      <c r="AT519" s="371"/>
      <c r="AU519" s="91"/>
      <c r="AV519" s="91"/>
      <c r="BB519" s="261"/>
      <c r="BC519" s="261"/>
      <c r="BD519" s="371"/>
      <c r="BE519" s="91"/>
      <c r="BF519" s="91"/>
      <c r="BG519" s="91"/>
      <c r="BH519" s="91"/>
      <c r="BI519" s="91"/>
      <c r="BJ519" s="91"/>
      <c r="BM519" s="290"/>
    </row>
    <row r="520" spans="14:65" ht="15.75">
      <c r="N520" s="91"/>
      <c r="P520" s="91"/>
      <c r="Q520" s="91"/>
      <c r="R520" s="357"/>
      <c r="Y520" s="374"/>
      <c r="Z520" s="91"/>
      <c r="AA520" s="91"/>
      <c r="AB520" s="278"/>
      <c r="AC520" s="290"/>
      <c r="AD520" s="290"/>
      <c r="AH520" s="374"/>
      <c r="AI520" s="91"/>
      <c r="AJ520" s="91"/>
      <c r="AK520" s="91"/>
      <c r="AL520" s="286"/>
      <c r="AM520" s="287"/>
      <c r="AN520" s="287"/>
      <c r="AS520" s="261"/>
      <c r="AT520" s="371"/>
      <c r="AU520" s="91"/>
      <c r="AV520" s="91"/>
      <c r="BB520" s="261"/>
      <c r="BC520" s="261"/>
      <c r="BD520" s="371"/>
      <c r="BE520" s="91"/>
      <c r="BF520" s="91"/>
      <c r="BG520" s="91"/>
      <c r="BH520" s="91"/>
      <c r="BI520" s="91"/>
      <c r="BJ520" s="91"/>
      <c r="BM520" s="290"/>
    </row>
    <row r="521" spans="14:65" ht="15.75">
      <c r="N521" s="91"/>
      <c r="P521" s="91"/>
      <c r="Q521" s="91"/>
      <c r="R521" s="357"/>
      <c r="Y521" s="374"/>
      <c r="Z521" s="91"/>
      <c r="AA521" s="91"/>
      <c r="AB521" s="278"/>
      <c r="AC521" s="290"/>
      <c r="AD521" s="290"/>
      <c r="AH521" s="374"/>
      <c r="AI521" s="91"/>
      <c r="AJ521" s="91"/>
      <c r="AK521" s="91"/>
      <c r="AL521" s="286"/>
      <c r="AM521" s="287"/>
      <c r="AN521" s="287"/>
      <c r="AS521" s="261"/>
      <c r="AT521" s="371"/>
      <c r="AU521" s="91"/>
      <c r="AV521" s="91"/>
      <c r="BB521" s="261"/>
      <c r="BC521" s="261"/>
      <c r="BD521" s="371"/>
      <c r="BE521" s="91"/>
      <c r="BF521" s="91"/>
      <c r="BG521" s="91"/>
      <c r="BH521" s="91"/>
      <c r="BI521" s="91"/>
      <c r="BJ521" s="91"/>
      <c r="BM521" s="290"/>
    </row>
    <row r="522" spans="14:65" ht="15.75">
      <c r="N522" s="91"/>
      <c r="P522" s="91"/>
      <c r="Q522" s="91"/>
      <c r="R522" s="357"/>
      <c r="Y522" s="374"/>
      <c r="Z522" s="91"/>
      <c r="AA522" s="91"/>
      <c r="AB522" s="278"/>
      <c r="AC522" s="290"/>
      <c r="AD522" s="290"/>
      <c r="AH522" s="374"/>
      <c r="AI522" s="91"/>
      <c r="AJ522" s="91"/>
      <c r="AK522" s="91"/>
      <c r="AL522" s="286"/>
      <c r="AM522" s="287"/>
      <c r="AN522" s="287"/>
      <c r="AS522" s="261"/>
      <c r="AT522" s="371"/>
      <c r="AU522" s="91"/>
      <c r="AV522" s="91"/>
      <c r="BB522" s="261"/>
      <c r="BC522" s="261"/>
      <c r="BD522" s="371"/>
      <c r="BE522" s="91"/>
      <c r="BF522" s="91"/>
      <c r="BG522" s="91"/>
      <c r="BH522" s="91"/>
      <c r="BI522" s="91"/>
      <c r="BJ522" s="91"/>
      <c r="BM522" s="290"/>
    </row>
    <row r="523" spans="14:65" ht="15.75">
      <c r="N523" s="91"/>
      <c r="P523" s="91"/>
      <c r="Q523" s="91"/>
      <c r="R523" s="357"/>
      <c r="Y523" s="374"/>
      <c r="Z523" s="91"/>
      <c r="AA523" s="91"/>
      <c r="AB523" s="278"/>
      <c r="AC523" s="290"/>
      <c r="AD523" s="290"/>
      <c r="AH523" s="374"/>
      <c r="AI523" s="91"/>
      <c r="AJ523" s="91"/>
      <c r="AK523" s="91"/>
      <c r="AL523" s="286"/>
      <c r="AM523" s="287"/>
      <c r="AN523" s="287"/>
      <c r="AS523" s="261"/>
      <c r="AT523" s="371"/>
      <c r="AU523" s="91"/>
      <c r="AV523" s="91"/>
      <c r="BB523" s="261"/>
      <c r="BC523" s="261"/>
      <c r="BD523" s="371"/>
      <c r="BE523" s="91"/>
      <c r="BF523" s="91"/>
      <c r="BG523" s="91"/>
      <c r="BH523" s="91"/>
      <c r="BI523" s="91"/>
      <c r="BJ523" s="91"/>
      <c r="BM523" s="290"/>
    </row>
    <row r="524" spans="14:65" ht="15.75">
      <c r="N524" s="91"/>
      <c r="P524" s="91"/>
      <c r="Q524" s="91"/>
      <c r="R524" s="357"/>
      <c r="Y524" s="374"/>
      <c r="Z524" s="91"/>
      <c r="AA524" s="91"/>
      <c r="AB524" s="278"/>
      <c r="AC524" s="290"/>
      <c r="AD524" s="290"/>
      <c r="AH524" s="374"/>
      <c r="AI524" s="91"/>
      <c r="AJ524" s="91"/>
      <c r="AK524" s="91"/>
      <c r="AL524" s="286"/>
      <c r="AM524" s="287"/>
      <c r="AN524" s="287"/>
      <c r="AS524" s="261"/>
      <c r="AT524" s="371"/>
      <c r="AU524" s="91"/>
      <c r="AV524" s="91"/>
      <c r="BB524" s="261"/>
      <c r="BC524" s="261"/>
      <c r="BD524" s="371"/>
      <c r="BE524" s="91"/>
      <c r="BF524" s="91"/>
      <c r="BG524" s="91"/>
      <c r="BH524" s="91"/>
      <c r="BI524" s="91"/>
      <c r="BJ524" s="91"/>
      <c r="BM524" s="290"/>
    </row>
    <row r="525" spans="14:65" ht="15.75">
      <c r="N525" s="91"/>
      <c r="P525" s="91"/>
      <c r="Q525" s="91"/>
      <c r="R525" s="357"/>
      <c r="Y525" s="374"/>
      <c r="Z525" s="91"/>
      <c r="AA525" s="91"/>
      <c r="AB525" s="278"/>
      <c r="AC525" s="290"/>
      <c r="AD525" s="290"/>
      <c r="AH525" s="374"/>
      <c r="AI525" s="91"/>
      <c r="AJ525" s="91"/>
      <c r="AK525" s="91"/>
      <c r="AL525" s="286"/>
      <c r="AM525" s="287"/>
      <c r="AN525" s="287"/>
      <c r="AS525" s="261"/>
      <c r="AT525" s="371"/>
      <c r="AU525" s="91"/>
      <c r="AV525" s="91"/>
      <c r="BB525" s="261"/>
      <c r="BC525" s="261"/>
      <c r="BD525" s="371"/>
      <c r="BE525" s="91"/>
      <c r="BF525" s="91"/>
      <c r="BG525" s="91"/>
      <c r="BH525" s="91"/>
      <c r="BI525" s="91"/>
      <c r="BJ525" s="91"/>
      <c r="BM525" s="290"/>
    </row>
    <row r="526" spans="14:65" ht="15.75">
      <c r="N526" s="91"/>
      <c r="P526" s="91"/>
      <c r="Q526" s="91"/>
      <c r="R526" s="357"/>
      <c r="Y526" s="374"/>
      <c r="Z526" s="377"/>
      <c r="AA526" s="377"/>
      <c r="AB526" s="278"/>
      <c r="AC526" s="290"/>
      <c r="AD526" s="290"/>
      <c r="AH526" s="374"/>
      <c r="AI526" s="91"/>
      <c r="AJ526" s="91"/>
      <c r="AK526" s="91"/>
      <c r="AL526" s="286"/>
      <c r="AM526" s="287"/>
      <c r="AN526" s="287"/>
      <c r="AS526" s="261"/>
      <c r="AT526" s="371"/>
      <c r="AU526" s="91"/>
      <c r="AV526" s="91"/>
      <c r="BB526" s="261"/>
      <c r="BC526" s="261"/>
      <c r="BD526" s="371"/>
      <c r="BE526" s="91"/>
      <c r="BF526" s="91"/>
      <c r="BG526" s="91"/>
      <c r="BH526" s="91"/>
      <c r="BI526" s="91"/>
      <c r="BJ526" s="91"/>
      <c r="BM526" s="290"/>
    </row>
    <row r="527" spans="14:65" ht="15.75">
      <c r="N527" s="91"/>
      <c r="P527" s="91"/>
      <c r="Q527" s="91"/>
      <c r="R527" s="357"/>
      <c r="Y527" s="374"/>
      <c r="Z527" s="377"/>
      <c r="AA527" s="377"/>
      <c r="AB527" s="278"/>
      <c r="AC527" s="290"/>
      <c r="AD527" s="290"/>
      <c r="AH527" s="374"/>
      <c r="AI527" s="91"/>
      <c r="AJ527" s="91"/>
      <c r="AK527" s="91"/>
      <c r="AL527" s="286"/>
      <c r="AM527" s="287"/>
      <c r="AN527" s="287"/>
      <c r="AS527" s="261"/>
      <c r="AT527" s="371"/>
      <c r="AU527" s="91"/>
      <c r="AV527" s="91"/>
      <c r="BB527" s="261"/>
      <c r="BC527" s="261"/>
      <c r="BD527" s="371"/>
      <c r="BE527" s="91"/>
      <c r="BF527" s="91"/>
      <c r="BG527" s="91"/>
      <c r="BH527" s="91"/>
      <c r="BI527" s="91"/>
      <c r="BJ527" s="91"/>
      <c r="BM527" s="290"/>
    </row>
    <row r="528" spans="14:65" ht="15.75">
      <c r="N528" s="91"/>
      <c r="P528" s="91"/>
      <c r="Q528" s="91"/>
      <c r="R528" s="357"/>
      <c r="Y528" s="374"/>
      <c r="Z528" s="377"/>
      <c r="AA528" s="377"/>
      <c r="AB528" s="278"/>
      <c r="AC528" s="290"/>
      <c r="AD528" s="290"/>
      <c r="AH528" s="374"/>
      <c r="AI528" s="91"/>
      <c r="AJ528" s="91"/>
      <c r="AK528" s="91"/>
      <c r="AL528" s="286"/>
      <c r="AM528" s="287"/>
      <c r="AN528" s="287"/>
      <c r="AS528" s="261"/>
      <c r="AT528" s="371"/>
      <c r="AU528" s="91"/>
      <c r="AV528" s="91"/>
      <c r="BB528" s="261"/>
      <c r="BC528" s="261"/>
      <c r="BD528" s="371"/>
      <c r="BE528" s="91"/>
      <c r="BF528" s="91"/>
      <c r="BG528" s="91"/>
      <c r="BH528" s="91"/>
      <c r="BI528" s="91"/>
      <c r="BJ528" s="91"/>
      <c r="BM528" s="290"/>
    </row>
    <row r="529" spans="14:65" ht="15.75">
      <c r="N529" s="91"/>
      <c r="P529" s="91"/>
      <c r="Q529" s="91"/>
      <c r="R529" s="357"/>
      <c r="Y529" s="374"/>
      <c r="Z529" s="377"/>
      <c r="AA529" s="377"/>
      <c r="AB529" s="278"/>
      <c r="AC529" s="290"/>
      <c r="AD529" s="290"/>
      <c r="AH529" s="374"/>
      <c r="AI529" s="91"/>
      <c r="AJ529" s="91"/>
      <c r="AK529" s="91"/>
      <c r="AL529" s="286"/>
      <c r="AM529" s="287"/>
      <c r="AN529" s="287"/>
      <c r="AS529" s="261"/>
      <c r="AT529" s="371"/>
      <c r="AU529" s="91"/>
      <c r="AV529" s="91"/>
      <c r="BB529" s="261"/>
      <c r="BC529" s="261"/>
      <c r="BD529" s="371"/>
      <c r="BE529" s="91"/>
      <c r="BF529" s="91"/>
      <c r="BG529" s="91"/>
      <c r="BH529" s="91"/>
      <c r="BI529" s="91"/>
      <c r="BJ529" s="91"/>
      <c r="BM529" s="290"/>
    </row>
    <row r="530" spans="14:65" ht="15.75">
      <c r="N530" s="91"/>
      <c r="P530" s="91"/>
      <c r="Q530" s="91"/>
      <c r="R530" s="357"/>
      <c r="Y530" s="374"/>
      <c r="Z530" s="377"/>
      <c r="AA530" s="377"/>
      <c r="AB530" s="278"/>
      <c r="AC530" s="290"/>
      <c r="AD530" s="290"/>
      <c r="AH530" s="374"/>
      <c r="AI530" s="91"/>
      <c r="AJ530" s="91"/>
      <c r="AK530" s="91"/>
      <c r="AL530" s="286"/>
      <c r="AM530" s="287"/>
      <c r="AN530" s="287"/>
      <c r="AS530" s="261"/>
      <c r="AT530" s="371"/>
      <c r="AU530" s="91"/>
      <c r="AV530" s="91"/>
      <c r="BB530" s="261"/>
      <c r="BC530" s="261"/>
      <c r="BD530" s="371"/>
      <c r="BE530" s="91"/>
      <c r="BF530" s="91"/>
      <c r="BG530" s="91"/>
      <c r="BH530" s="91"/>
      <c r="BI530" s="91"/>
      <c r="BJ530" s="91"/>
      <c r="BM530" s="290"/>
    </row>
    <row r="531" spans="14:65" ht="15.75">
      <c r="N531" s="91"/>
      <c r="Q531" s="91"/>
      <c r="R531" s="357"/>
      <c r="Y531" s="374"/>
      <c r="Z531" s="377"/>
      <c r="AA531" s="377"/>
      <c r="AB531" s="278"/>
      <c r="AC531" s="290"/>
      <c r="AD531" s="290"/>
      <c r="AH531" s="374"/>
      <c r="AI531" s="91"/>
      <c r="AJ531" s="91"/>
      <c r="AK531" s="91"/>
      <c r="AL531" s="286"/>
      <c r="AM531" s="287"/>
      <c r="AN531" s="287"/>
      <c r="AS531" s="261"/>
      <c r="AT531" s="371"/>
      <c r="AU531" s="91"/>
      <c r="AV531" s="91"/>
      <c r="BB531" s="261"/>
      <c r="BC531" s="261"/>
      <c r="BD531" s="371"/>
      <c r="BE531" s="91"/>
      <c r="BF531" s="91"/>
      <c r="BG531" s="91"/>
      <c r="BH531" s="91"/>
      <c r="BI531" s="91"/>
      <c r="BJ531" s="91"/>
      <c r="BM531" s="290"/>
    </row>
    <row r="532" spans="14:65" ht="15.75">
      <c r="N532" s="91"/>
      <c r="Q532" s="91"/>
      <c r="R532" s="357"/>
      <c r="Y532" s="374"/>
      <c r="Z532" s="377"/>
      <c r="AA532" s="377"/>
      <c r="AB532" s="278"/>
      <c r="AC532" s="290"/>
      <c r="AD532" s="290"/>
      <c r="AH532" s="374"/>
      <c r="AI532" s="91"/>
      <c r="AJ532" s="91"/>
      <c r="AK532" s="91"/>
      <c r="AL532" s="286"/>
      <c r="AM532" s="287"/>
      <c r="AN532" s="287"/>
      <c r="AS532" s="261"/>
      <c r="AT532" s="371"/>
      <c r="AU532" s="91"/>
      <c r="AV532" s="91"/>
      <c r="BB532" s="261"/>
      <c r="BC532" s="261"/>
      <c r="BD532" s="371"/>
      <c r="BE532" s="91"/>
      <c r="BF532" s="91"/>
      <c r="BG532" s="91"/>
      <c r="BH532" s="91"/>
      <c r="BI532" s="91"/>
      <c r="BJ532" s="91"/>
      <c r="BM532" s="290"/>
    </row>
    <row r="533" spans="14:65" ht="15.75">
      <c r="N533" s="91"/>
      <c r="Q533" s="91"/>
      <c r="R533" s="357"/>
      <c r="Y533" s="374"/>
      <c r="Z533" s="377"/>
      <c r="AA533" s="377"/>
      <c r="AB533" s="278"/>
      <c r="AC533" s="290"/>
      <c r="AD533" s="290"/>
      <c r="AH533" s="374"/>
      <c r="AI533" s="91"/>
      <c r="AJ533" s="91"/>
      <c r="AK533" s="91"/>
      <c r="AL533" s="286"/>
      <c r="AM533" s="287"/>
      <c r="AN533" s="287"/>
      <c r="AS533" s="261"/>
      <c r="AT533" s="371"/>
      <c r="AU533" s="91"/>
      <c r="AV533" s="91"/>
      <c r="BB533" s="261"/>
      <c r="BC533" s="261"/>
      <c r="BD533" s="371"/>
      <c r="BE533" s="91"/>
      <c r="BF533" s="91"/>
      <c r="BG533" s="91"/>
      <c r="BH533" s="91"/>
      <c r="BI533" s="91"/>
      <c r="BJ533" s="91"/>
      <c r="BM533" s="290"/>
    </row>
    <row r="534" spans="14:65" ht="15.75">
      <c r="N534" s="91"/>
      <c r="Q534" s="91"/>
      <c r="R534" s="357"/>
      <c r="Y534" s="374"/>
      <c r="Z534" s="377"/>
      <c r="AA534" s="377"/>
      <c r="AB534" s="278"/>
      <c r="AC534" s="290"/>
      <c r="AD534" s="290"/>
      <c r="AH534" s="374"/>
      <c r="AI534" s="91"/>
      <c r="AJ534" s="91"/>
      <c r="AK534" s="91"/>
      <c r="AL534" s="286"/>
      <c r="AM534" s="287"/>
      <c r="AN534" s="287"/>
      <c r="AS534" s="261"/>
      <c r="AT534" s="371"/>
      <c r="AU534" s="91"/>
      <c r="AV534" s="91"/>
      <c r="BB534" s="261"/>
      <c r="BC534" s="261"/>
      <c r="BD534" s="371"/>
      <c r="BE534" s="91"/>
      <c r="BF534" s="91"/>
      <c r="BG534" s="91"/>
      <c r="BH534" s="91"/>
      <c r="BI534" s="91"/>
      <c r="BJ534" s="91"/>
      <c r="BM534" s="290"/>
    </row>
    <row r="535" spans="14:65" ht="15.75">
      <c r="N535" s="91"/>
      <c r="Q535" s="91"/>
      <c r="R535" s="357"/>
      <c r="Y535" s="374"/>
      <c r="Z535" s="377"/>
      <c r="AA535" s="377"/>
      <c r="AB535" s="278"/>
      <c r="AC535" s="290"/>
      <c r="AD535" s="290"/>
      <c r="AH535" s="374"/>
      <c r="AI535" s="91"/>
      <c r="AJ535" s="91"/>
      <c r="AK535" s="91"/>
      <c r="AL535" s="286"/>
      <c r="AM535" s="287"/>
      <c r="AN535" s="287"/>
      <c r="AS535" s="261"/>
      <c r="AT535" s="371"/>
      <c r="AU535" s="91"/>
      <c r="AV535" s="91"/>
      <c r="BB535" s="261"/>
      <c r="BC535" s="261"/>
      <c r="BD535" s="371"/>
      <c r="BE535" s="91"/>
      <c r="BF535" s="91"/>
      <c r="BG535" s="91"/>
      <c r="BH535" s="91"/>
      <c r="BI535" s="91"/>
      <c r="BJ535" s="91"/>
      <c r="BM535" s="290"/>
    </row>
    <row r="536" spans="14:65" ht="15.75">
      <c r="N536" s="91"/>
      <c r="Q536" s="91"/>
      <c r="R536" s="357"/>
      <c r="Y536" s="374"/>
      <c r="Z536" s="377"/>
      <c r="AA536" s="377"/>
      <c r="AB536" s="278"/>
      <c r="AC536" s="290"/>
      <c r="AD536" s="290"/>
      <c r="AH536" s="374"/>
      <c r="AI536" s="91"/>
      <c r="AJ536" s="91"/>
      <c r="AK536" s="91"/>
      <c r="AL536" s="286"/>
      <c r="AM536" s="287"/>
      <c r="AN536" s="287"/>
      <c r="AS536" s="261"/>
      <c r="AT536" s="371"/>
      <c r="AU536" s="91"/>
      <c r="AV536" s="91"/>
      <c r="BB536" s="261"/>
      <c r="BC536" s="261"/>
      <c r="BD536" s="371"/>
      <c r="BE536" s="91"/>
      <c r="BF536" s="91"/>
      <c r="BG536" s="91"/>
      <c r="BH536" s="91"/>
      <c r="BI536" s="91"/>
      <c r="BJ536" s="91"/>
      <c r="BM536" s="290"/>
    </row>
    <row r="537" spans="14:65" ht="15.75">
      <c r="N537" s="91"/>
      <c r="Q537" s="91"/>
      <c r="R537" s="357"/>
      <c r="Y537" s="374"/>
      <c r="Z537" s="377"/>
      <c r="AA537" s="377"/>
      <c r="AB537" s="278"/>
      <c r="AC537" s="290"/>
      <c r="AD537" s="290"/>
      <c r="AH537" s="374"/>
      <c r="AI537" s="91"/>
      <c r="AJ537" s="91"/>
      <c r="AK537" s="91"/>
      <c r="AL537" s="286"/>
      <c r="AM537" s="287"/>
      <c r="AN537" s="287"/>
      <c r="AS537" s="261"/>
      <c r="AT537" s="371"/>
      <c r="AU537" s="91"/>
      <c r="AV537" s="91"/>
      <c r="BB537" s="261"/>
      <c r="BC537" s="261"/>
      <c r="BD537" s="371"/>
      <c r="BE537" s="91"/>
      <c r="BF537" s="91"/>
      <c r="BG537" s="91"/>
      <c r="BH537" s="91"/>
      <c r="BI537" s="91"/>
      <c r="BJ537" s="91"/>
      <c r="BM537" s="290"/>
    </row>
    <row r="538" spans="14:65" ht="15.75">
      <c r="N538" s="91"/>
      <c r="Q538" s="91"/>
      <c r="R538" s="357"/>
      <c r="Y538" s="374"/>
      <c r="Z538" s="377"/>
      <c r="AA538" s="377"/>
      <c r="AB538" s="278"/>
      <c r="AC538" s="290"/>
      <c r="AD538" s="290"/>
      <c r="AH538" s="374"/>
      <c r="AI538" s="91"/>
      <c r="AJ538" s="91"/>
      <c r="AK538" s="91"/>
      <c r="AL538" s="286"/>
      <c r="AM538" s="287"/>
      <c r="AN538" s="287"/>
      <c r="AS538" s="261"/>
      <c r="AT538" s="371"/>
      <c r="AU538" s="91"/>
      <c r="AV538" s="91"/>
      <c r="BB538" s="261"/>
      <c r="BC538" s="261"/>
      <c r="BD538" s="371"/>
      <c r="BE538" s="91"/>
      <c r="BF538" s="91"/>
      <c r="BG538" s="91"/>
      <c r="BH538" s="91"/>
      <c r="BI538" s="91"/>
      <c r="BJ538" s="91"/>
      <c r="BM538" s="290"/>
    </row>
    <row r="539" spans="14:65" ht="15.75">
      <c r="N539" s="91"/>
      <c r="Q539" s="91"/>
      <c r="R539" s="357"/>
      <c r="Y539" s="374"/>
      <c r="Z539" s="377"/>
      <c r="AA539" s="377"/>
      <c r="AB539" s="278"/>
      <c r="AC539" s="290"/>
      <c r="AD539" s="290"/>
      <c r="AH539" s="374"/>
      <c r="AI539" s="91"/>
      <c r="AJ539" s="91"/>
      <c r="AK539" s="91"/>
      <c r="AL539" s="286"/>
      <c r="AM539" s="287"/>
      <c r="AN539" s="287"/>
      <c r="AS539" s="261"/>
      <c r="AT539" s="371"/>
      <c r="AU539" s="91"/>
      <c r="AV539" s="91"/>
      <c r="BB539" s="261"/>
      <c r="BC539" s="261"/>
      <c r="BD539" s="371"/>
      <c r="BE539" s="91"/>
      <c r="BF539" s="91"/>
      <c r="BG539" s="91"/>
      <c r="BH539" s="91"/>
      <c r="BI539" s="91"/>
      <c r="BJ539" s="91"/>
      <c r="BM539" s="290"/>
    </row>
    <row r="540" spans="14:65" ht="15.75">
      <c r="N540" s="91"/>
      <c r="Q540" s="91"/>
      <c r="R540" s="357"/>
      <c r="Y540" s="374"/>
      <c r="Z540" s="377"/>
      <c r="AA540" s="377"/>
      <c r="AB540" s="278"/>
      <c r="AC540" s="290"/>
      <c r="AD540" s="290"/>
      <c r="AH540" s="374"/>
      <c r="AI540" s="91"/>
      <c r="AJ540" s="91"/>
      <c r="AK540" s="91"/>
      <c r="AL540" s="286"/>
      <c r="AM540" s="287"/>
      <c r="AN540" s="287"/>
      <c r="AS540" s="261"/>
      <c r="AT540" s="371"/>
      <c r="AU540" s="91"/>
      <c r="AV540" s="91"/>
      <c r="BB540" s="261"/>
      <c r="BC540" s="261"/>
      <c r="BD540" s="371"/>
      <c r="BE540" s="91"/>
      <c r="BF540" s="91"/>
      <c r="BG540" s="91"/>
      <c r="BH540" s="91"/>
      <c r="BI540" s="91"/>
      <c r="BJ540" s="91"/>
      <c r="BM540" s="290"/>
    </row>
    <row r="541" spans="14:65" ht="15.75">
      <c r="N541" s="91"/>
      <c r="Q541" s="91"/>
    </row>
    <row r="542" spans="14:65" ht="15.75">
      <c r="N542" s="91"/>
      <c r="Q542" s="91"/>
    </row>
    <row r="543" spans="14:65" ht="15.75">
      <c r="N543" s="91"/>
      <c r="Q543" s="91"/>
    </row>
    <row r="544" spans="14:65" ht="15.75">
      <c r="N544" s="91"/>
      <c r="Q544" s="91"/>
    </row>
    <row r="545" spans="1:129" ht="15.75">
      <c r="N545" s="91"/>
      <c r="Q545" s="91"/>
    </row>
    <row r="546" spans="1:129" ht="15.75">
      <c r="A546" s="238"/>
      <c r="D546" s="192"/>
      <c r="E546" s="258"/>
      <c r="F546" s="193"/>
      <c r="G546" s="91"/>
      <c r="H546" s="91"/>
      <c r="I546" s="294"/>
      <c r="J546" s="193"/>
      <c r="K546" s="193"/>
      <c r="L546" s="193"/>
      <c r="M546" s="295"/>
      <c r="N546" s="91"/>
      <c r="O546" s="193"/>
      <c r="P546" s="356"/>
      <c r="Q546" s="91"/>
      <c r="R546" s="356"/>
      <c r="S546" s="357"/>
      <c r="T546" s="357"/>
      <c r="U546" s="357"/>
      <c r="V546" s="357"/>
      <c r="W546" s="357"/>
      <c r="X546" s="357"/>
      <c r="Y546" s="357"/>
      <c r="Z546" s="357"/>
      <c r="AA546" s="374"/>
      <c r="AB546" s="377"/>
      <c r="AC546" s="377"/>
      <c r="AD546" s="377"/>
      <c r="AE546" s="288"/>
      <c r="AF546" s="288"/>
      <c r="AG546" s="288"/>
      <c r="AH546" s="288"/>
      <c r="AI546" s="288"/>
      <c r="AJ546" s="288"/>
      <c r="AK546" s="374"/>
      <c r="AL546" s="91"/>
      <c r="AM546" s="376"/>
      <c r="AN546" s="376"/>
      <c r="AO546" s="286"/>
      <c r="AP546" s="286"/>
      <c r="AQ546" s="286"/>
      <c r="AR546" s="286"/>
      <c r="AS546" s="286"/>
      <c r="AT546" s="286"/>
      <c r="AU546" s="261"/>
      <c r="AV546" s="371"/>
      <c r="AW546" s="91"/>
      <c r="AX546" s="91"/>
      <c r="AY546" s="286"/>
      <c r="AZ546" s="286"/>
      <c r="BA546" s="286"/>
      <c r="BB546" s="286"/>
      <c r="BC546" s="286"/>
      <c r="BD546" s="286"/>
      <c r="BE546" s="261"/>
      <c r="BF546" s="261"/>
      <c r="BG546" s="261"/>
      <c r="BH546" s="261"/>
      <c r="BI546" s="261"/>
      <c r="BJ546" s="261"/>
      <c r="BK546" s="261"/>
      <c r="BL546" s="91"/>
      <c r="BM546" s="278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  <c r="BZ546" s="91"/>
      <c r="CA546" s="91"/>
      <c r="CB546" s="91"/>
      <c r="CC546" s="91"/>
      <c r="CD546" s="91"/>
      <c r="CE546" s="91"/>
      <c r="CF546" s="91"/>
      <c r="CG546" s="91"/>
      <c r="CH546" s="91"/>
      <c r="CI546" s="91"/>
      <c r="CJ546" s="91"/>
      <c r="CK546" s="91"/>
      <c r="CL546" s="91"/>
      <c r="CM546" s="91"/>
      <c r="CN546" s="91"/>
      <c r="CO546" s="91"/>
      <c r="CP546" s="91"/>
      <c r="CQ546" s="91"/>
      <c r="CR546" s="91"/>
      <c r="CS546" s="91"/>
      <c r="CT546" s="91"/>
      <c r="CU546" s="91"/>
      <c r="CV546" s="91"/>
      <c r="CW546" s="91"/>
      <c r="CX546" s="91"/>
      <c r="CY546" s="91"/>
      <c r="CZ546" s="91"/>
      <c r="DA546" s="91"/>
      <c r="DB546" s="91"/>
      <c r="DC546" s="91"/>
      <c r="DD546" s="91"/>
      <c r="DE546" s="91"/>
      <c r="DF546" s="91"/>
      <c r="DG546" s="91"/>
      <c r="DH546" s="91"/>
      <c r="DI546" s="91"/>
      <c r="DJ546" s="91"/>
      <c r="DK546" s="91"/>
      <c r="DL546" s="91"/>
      <c r="DM546" s="91"/>
      <c r="DN546" s="91"/>
      <c r="DO546" s="91"/>
      <c r="DP546" s="91"/>
      <c r="DQ546" s="91"/>
      <c r="DR546" s="91"/>
      <c r="DS546" s="91"/>
      <c r="DT546" s="91"/>
      <c r="DU546" s="91"/>
      <c r="DV546" s="91"/>
      <c r="DW546" s="91"/>
      <c r="DX546" s="91"/>
      <c r="DY546" s="91"/>
    </row>
    <row r="547" spans="1:129" ht="15.75">
      <c r="A547" s="238"/>
      <c r="D547" s="192"/>
      <c r="E547" s="258"/>
      <c r="F547" s="193"/>
      <c r="G547" s="91"/>
      <c r="H547" s="91"/>
      <c r="I547" s="294"/>
      <c r="J547" s="193"/>
      <c r="K547" s="193"/>
      <c r="L547" s="193"/>
      <c r="M547" s="295"/>
      <c r="N547" s="91"/>
      <c r="O547" s="193"/>
      <c r="P547" s="356"/>
      <c r="Q547" s="91"/>
      <c r="R547" s="356"/>
      <c r="S547" s="357"/>
      <c r="T547" s="357"/>
      <c r="U547" s="357"/>
      <c r="V547" s="357"/>
      <c r="W547" s="357"/>
      <c r="X547" s="357"/>
      <c r="Y547" s="357"/>
      <c r="Z547" s="357"/>
      <c r="AA547" s="374"/>
      <c r="AB547" s="377"/>
      <c r="AC547" s="377"/>
      <c r="AD547" s="377"/>
      <c r="AE547" s="288"/>
      <c r="AF547" s="288"/>
      <c r="AG547" s="288"/>
      <c r="AH547" s="288"/>
      <c r="AI547" s="288"/>
      <c r="AJ547" s="288"/>
      <c r="AK547" s="374"/>
      <c r="AL547" s="91"/>
      <c r="AM547" s="376"/>
      <c r="AN547" s="376"/>
      <c r="AO547" s="286"/>
      <c r="AP547" s="286"/>
      <c r="AQ547" s="286"/>
      <c r="AR547" s="286"/>
      <c r="AS547" s="286"/>
      <c r="AT547" s="286"/>
      <c r="AU547" s="261"/>
      <c r="AV547" s="371"/>
      <c r="AW547" s="91"/>
      <c r="AX547" s="91"/>
      <c r="AY547" s="286"/>
      <c r="AZ547" s="286"/>
      <c r="BA547" s="286"/>
      <c r="BB547" s="286"/>
      <c r="BC547" s="286"/>
      <c r="BD547" s="286"/>
      <c r="BE547" s="261"/>
      <c r="BF547" s="261"/>
      <c r="BG547" s="261"/>
      <c r="BH547" s="261"/>
      <c r="BI547" s="261"/>
      <c r="BJ547" s="261"/>
      <c r="BK547" s="261"/>
      <c r="BL547" s="91"/>
      <c r="BM547" s="278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91"/>
      <c r="CG547" s="91"/>
      <c r="CH547" s="91"/>
      <c r="CI547" s="91"/>
      <c r="CJ547" s="91"/>
      <c r="CK547" s="91"/>
      <c r="CL547" s="91"/>
      <c r="CM547" s="91"/>
      <c r="CN547" s="91"/>
      <c r="CO547" s="91"/>
      <c r="CP547" s="91"/>
      <c r="CQ547" s="91"/>
      <c r="CR547" s="91"/>
      <c r="CS547" s="91"/>
      <c r="CT547" s="91"/>
      <c r="CU547" s="91"/>
      <c r="CV547" s="91"/>
      <c r="CW547" s="91"/>
      <c r="CX547" s="91"/>
      <c r="CY547" s="91"/>
      <c r="CZ547" s="91"/>
      <c r="DA547" s="91"/>
      <c r="DB547" s="91"/>
      <c r="DC547" s="91"/>
      <c r="DD547" s="91"/>
      <c r="DE547" s="91"/>
      <c r="DF547" s="91"/>
      <c r="DG547" s="91"/>
      <c r="DH547" s="91"/>
      <c r="DI547" s="91"/>
      <c r="DJ547" s="91"/>
      <c r="DK547" s="91"/>
      <c r="DL547" s="91"/>
      <c r="DM547" s="91"/>
      <c r="DN547" s="91"/>
      <c r="DO547" s="91"/>
      <c r="DP547" s="91"/>
      <c r="DQ547" s="91"/>
      <c r="DR547" s="91"/>
      <c r="DS547" s="91"/>
      <c r="DT547" s="91"/>
      <c r="DU547" s="91"/>
      <c r="DV547" s="91"/>
      <c r="DW547" s="91"/>
      <c r="DX547" s="91"/>
      <c r="DY547" s="91"/>
    </row>
    <row r="548" spans="1:129" ht="15.75">
      <c r="A548" s="238"/>
      <c r="D548" s="192"/>
      <c r="E548" s="258"/>
      <c r="F548" s="193"/>
      <c r="G548" s="91"/>
      <c r="H548" s="91"/>
      <c r="I548" s="294"/>
      <c r="J548" s="193"/>
      <c r="K548" s="193"/>
      <c r="L548" s="193"/>
      <c r="M548" s="295"/>
      <c r="N548" s="91"/>
      <c r="O548" s="193"/>
      <c r="P548" s="356"/>
      <c r="Q548" s="91"/>
      <c r="R548" s="356"/>
      <c r="S548" s="357"/>
      <c r="T548" s="357"/>
      <c r="U548" s="357"/>
      <c r="V548" s="357"/>
      <c r="W548" s="357"/>
      <c r="X548" s="357"/>
      <c r="Y548" s="357"/>
      <c r="Z548" s="357"/>
      <c r="AA548" s="374"/>
      <c r="AB548" s="377"/>
      <c r="AC548" s="377"/>
      <c r="AD548" s="377"/>
      <c r="AE548" s="288"/>
      <c r="AF548" s="288"/>
      <c r="AG548" s="288"/>
      <c r="AH548" s="288"/>
      <c r="AI548" s="288"/>
      <c r="AJ548" s="288"/>
      <c r="AK548" s="374"/>
      <c r="AL548" s="91"/>
      <c r="AM548" s="376"/>
      <c r="AN548" s="376"/>
      <c r="AO548" s="286"/>
      <c r="AP548" s="286"/>
      <c r="AQ548" s="286"/>
      <c r="AR548" s="286"/>
      <c r="AS548" s="286"/>
      <c r="AT548" s="286"/>
      <c r="AU548" s="261"/>
      <c r="AV548" s="371"/>
      <c r="AW548" s="91"/>
      <c r="AX548" s="91"/>
      <c r="AY548" s="286"/>
      <c r="AZ548" s="286"/>
      <c r="BA548" s="286"/>
      <c r="BB548" s="286"/>
      <c r="BC548" s="286"/>
      <c r="BD548" s="286"/>
      <c r="BE548" s="261"/>
      <c r="BF548" s="261"/>
      <c r="BG548" s="261"/>
      <c r="BH548" s="261"/>
      <c r="BI548" s="261"/>
      <c r="BJ548" s="261"/>
      <c r="BK548" s="261"/>
      <c r="BL548" s="91"/>
      <c r="BM548" s="278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  <c r="BZ548" s="91"/>
      <c r="CA548" s="91"/>
      <c r="CB548" s="91"/>
      <c r="CC548" s="91"/>
      <c r="CD548" s="91"/>
      <c r="CE548" s="91"/>
      <c r="CF548" s="91"/>
      <c r="CG548" s="91"/>
      <c r="CH548" s="91"/>
      <c r="CI548" s="91"/>
      <c r="CJ548" s="91"/>
      <c r="CK548" s="91"/>
      <c r="CL548" s="91"/>
      <c r="CM548" s="91"/>
      <c r="CN548" s="91"/>
      <c r="CO548" s="91"/>
      <c r="CP548" s="91"/>
      <c r="CQ548" s="91"/>
      <c r="CR548" s="91"/>
      <c r="CS548" s="91"/>
      <c r="CT548" s="91"/>
      <c r="CU548" s="91"/>
      <c r="CV548" s="91"/>
      <c r="CW548" s="91"/>
      <c r="CX548" s="91"/>
      <c r="CY548" s="91"/>
      <c r="CZ548" s="91"/>
      <c r="DA548" s="91"/>
      <c r="DB548" s="91"/>
      <c r="DC548" s="91"/>
      <c r="DD548" s="91"/>
      <c r="DE548" s="91"/>
      <c r="DF548" s="91"/>
      <c r="DG548" s="91"/>
      <c r="DH548" s="91"/>
      <c r="DI548" s="91"/>
      <c r="DJ548" s="91"/>
      <c r="DK548" s="91"/>
      <c r="DL548" s="91"/>
      <c r="DM548" s="91"/>
      <c r="DN548" s="91"/>
      <c r="DO548" s="91"/>
      <c r="DP548" s="91"/>
      <c r="DQ548" s="91"/>
      <c r="DR548" s="91"/>
      <c r="DS548" s="91"/>
      <c r="DT548" s="91"/>
      <c r="DU548" s="91"/>
      <c r="DV548" s="91"/>
      <c r="DW548" s="91"/>
      <c r="DX548" s="91"/>
      <c r="DY548" s="91"/>
    </row>
    <row r="549" spans="1:129" ht="15.75">
      <c r="A549" s="238"/>
      <c r="D549" s="192"/>
      <c r="E549" s="258"/>
      <c r="F549" s="193"/>
      <c r="G549" s="91"/>
      <c r="H549" s="91"/>
      <c r="I549" s="294"/>
      <c r="J549" s="193"/>
      <c r="K549" s="193"/>
      <c r="L549" s="193"/>
      <c r="M549" s="295"/>
      <c r="N549" s="91"/>
      <c r="O549" s="193"/>
      <c r="P549" s="356"/>
      <c r="Q549" s="91"/>
      <c r="R549" s="356"/>
      <c r="S549" s="357"/>
      <c r="T549" s="357"/>
      <c r="U549" s="357"/>
      <c r="V549" s="357"/>
      <c r="W549" s="357"/>
      <c r="X549" s="357"/>
      <c r="Y549" s="357"/>
      <c r="Z549" s="357"/>
      <c r="AA549" s="374"/>
      <c r="AB549" s="377"/>
      <c r="AC549" s="377"/>
      <c r="AD549" s="377"/>
      <c r="AE549" s="288"/>
      <c r="AF549" s="288"/>
      <c r="AG549" s="288"/>
      <c r="AH549" s="288"/>
      <c r="AI549" s="288"/>
      <c r="AJ549" s="288"/>
      <c r="AK549" s="374"/>
      <c r="AL549" s="91"/>
      <c r="AM549" s="376"/>
      <c r="AN549" s="376"/>
      <c r="AO549" s="286"/>
      <c r="AP549" s="286"/>
      <c r="AQ549" s="286"/>
      <c r="AR549" s="286"/>
      <c r="AS549" s="286"/>
      <c r="AT549" s="286"/>
      <c r="AU549" s="261"/>
      <c r="AV549" s="371"/>
      <c r="AW549" s="91"/>
      <c r="AX549" s="91"/>
      <c r="AY549" s="286"/>
      <c r="AZ549" s="286"/>
      <c r="BA549" s="286"/>
      <c r="BB549" s="286"/>
      <c r="BC549" s="286"/>
      <c r="BD549" s="286"/>
      <c r="BE549" s="261"/>
      <c r="BF549" s="261"/>
      <c r="BG549" s="261"/>
      <c r="BH549" s="261"/>
      <c r="BI549" s="261"/>
      <c r="BJ549" s="261"/>
      <c r="BK549" s="261"/>
      <c r="BL549" s="91"/>
      <c r="BM549" s="278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91"/>
      <c r="CG549" s="91"/>
      <c r="CH549" s="91"/>
      <c r="CI549" s="91"/>
      <c r="CJ549" s="91"/>
      <c r="CK549" s="91"/>
      <c r="CL549" s="91"/>
      <c r="CM549" s="91"/>
      <c r="CN549" s="91"/>
      <c r="CO549" s="91"/>
      <c r="CP549" s="91"/>
      <c r="CQ549" s="91"/>
      <c r="CR549" s="91"/>
      <c r="CS549" s="91"/>
      <c r="CT549" s="91"/>
      <c r="CU549" s="91"/>
      <c r="CV549" s="91"/>
      <c r="CW549" s="91"/>
      <c r="CX549" s="91"/>
      <c r="CY549" s="91"/>
      <c r="CZ549" s="91"/>
      <c r="DA549" s="91"/>
      <c r="DB549" s="91"/>
      <c r="DC549" s="91"/>
      <c r="DD549" s="91"/>
      <c r="DE549" s="91"/>
      <c r="DF549" s="91"/>
      <c r="DG549" s="91"/>
      <c r="DH549" s="91"/>
      <c r="DI549" s="91"/>
      <c r="DJ549" s="91"/>
      <c r="DK549" s="91"/>
      <c r="DL549" s="91"/>
      <c r="DM549" s="91"/>
      <c r="DN549" s="91"/>
      <c r="DO549" s="91"/>
      <c r="DP549" s="91"/>
      <c r="DQ549" s="91"/>
      <c r="DR549" s="91"/>
      <c r="DS549" s="91"/>
      <c r="DT549" s="91"/>
      <c r="DU549" s="91"/>
      <c r="DV549" s="91"/>
      <c r="DW549" s="91"/>
      <c r="DX549" s="91"/>
      <c r="DY549" s="91"/>
    </row>
    <row r="550" spans="1:129" ht="15.75">
      <c r="A550" s="238"/>
      <c r="D550" s="192"/>
      <c r="E550" s="258"/>
      <c r="F550" s="193"/>
      <c r="G550" s="91"/>
      <c r="H550" s="91"/>
      <c r="I550" s="294"/>
      <c r="J550" s="193"/>
      <c r="K550" s="193"/>
      <c r="L550" s="193"/>
      <c r="M550" s="295"/>
      <c r="N550" s="91"/>
      <c r="O550" s="193"/>
      <c r="P550" s="356"/>
      <c r="Q550" s="91"/>
      <c r="R550" s="356"/>
      <c r="S550" s="357"/>
      <c r="T550" s="357"/>
      <c r="U550" s="357"/>
      <c r="V550" s="357"/>
      <c r="W550" s="357"/>
      <c r="X550" s="357"/>
      <c r="Y550" s="357"/>
      <c r="Z550" s="357"/>
      <c r="AA550" s="374"/>
      <c r="AB550" s="377"/>
      <c r="AC550" s="377"/>
      <c r="AD550" s="377"/>
      <c r="AE550" s="288"/>
      <c r="AF550" s="288"/>
      <c r="AG550" s="288"/>
      <c r="AH550" s="288"/>
      <c r="AI550" s="288"/>
      <c r="AJ550" s="288"/>
      <c r="AK550" s="374"/>
      <c r="AL550" s="91"/>
      <c r="AM550" s="376"/>
      <c r="AN550" s="376"/>
      <c r="AO550" s="286"/>
      <c r="AP550" s="286"/>
      <c r="AQ550" s="286"/>
      <c r="AR550" s="286"/>
      <c r="AS550" s="286"/>
      <c r="AT550" s="286"/>
      <c r="AU550" s="261"/>
      <c r="AV550" s="371"/>
      <c r="AW550" s="91"/>
      <c r="AX550" s="91"/>
      <c r="AY550" s="286"/>
      <c r="AZ550" s="286"/>
      <c r="BA550" s="286"/>
      <c r="BB550" s="286"/>
      <c r="BC550" s="286"/>
      <c r="BD550" s="286"/>
      <c r="BE550" s="261"/>
      <c r="BF550" s="261"/>
      <c r="BG550" s="261"/>
      <c r="BH550" s="261"/>
      <c r="BI550" s="261"/>
      <c r="BJ550" s="261"/>
      <c r="BK550" s="261"/>
      <c r="BL550" s="91"/>
      <c r="BM550" s="278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  <c r="BZ550" s="91"/>
      <c r="CA550" s="91"/>
      <c r="CB550" s="91"/>
      <c r="CC550" s="91"/>
      <c r="CD550" s="91"/>
      <c r="CE550" s="91"/>
      <c r="CF550" s="91"/>
      <c r="CG550" s="91"/>
      <c r="CH550" s="91"/>
      <c r="CI550" s="91"/>
      <c r="CJ550" s="91"/>
      <c r="CK550" s="91"/>
      <c r="CL550" s="91"/>
      <c r="CM550" s="91"/>
      <c r="CN550" s="91"/>
      <c r="CO550" s="91"/>
      <c r="CP550" s="91"/>
      <c r="CQ550" s="91"/>
      <c r="CR550" s="91"/>
      <c r="CS550" s="91"/>
      <c r="CT550" s="91"/>
      <c r="CU550" s="91"/>
      <c r="CV550" s="91"/>
      <c r="CW550" s="91"/>
      <c r="CX550" s="91"/>
      <c r="CY550" s="91"/>
      <c r="CZ550" s="91"/>
      <c r="DA550" s="91"/>
      <c r="DB550" s="91"/>
      <c r="DC550" s="91"/>
      <c r="DD550" s="91"/>
      <c r="DE550" s="91"/>
      <c r="DF550" s="91"/>
      <c r="DG550" s="91"/>
      <c r="DH550" s="91"/>
      <c r="DI550" s="91"/>
      <c r="DJ550" s="91"/>
      <c r="DK550" s="91"/>
      <c r="DL550" s="91"/>
      <c r="DM550" s="91"/>
      <c r="DN550" s="91"/>
      <c r="DO550" s="91"/>
      <c r="DP550" s="91"/>
      <c r="DQ550" s="91"/>
      <c r="DR550" s="91"/>
      <c r="DS550" s="91"/>
      <c r="DT550" s="91"/>
      <c r="DU550" s="91"/>
      <c r="DV550" s="91"/>
      <c r="DW550" s="91"/>
      <c r="DX550" s="91"/>
      <c r="DY550" s="91"/>
    </row>
    <row r="551" spans="1:129" ht="15.75">
      <c r="A551" s="238"/>
      <c r="D551" s="192"/>
      <c r="E551" s="258"/>
      <c r="F551" s="193"/>
      <c r="G551" s="91"/>
      <c r="H551" s="91"/>
      <c r="I551" s="294"/>
      <c r="J551" s="193"/>
      <c r="K551" s="193"/>
      <c r="L551" s="193"/>
      <c r="M551" s="295"/>
      <c r="N551" s="91"/>
      <c r="O551" s="193"/>
      <c r="P551" s="356"/>
      <c r="Q551" s="91"/>
      <c r="R551" s="356"/>
      <c r="S551" s="357"/>
      <c r="T551" s="357"/>
      <c r="U551" s="357"/>
      <c r="V551" s="357"/>
      <c r="W551" s="357"/>
      <c r="X551" s="357"/>
      <c r="Y551" s="357"/>
      <c r="Z551" s="357"/>
      <c r="AA551" s="374"/>
      <c r="AB551" s="377"/>
      <c r="AC551" s="377"/>
      <c r="AD551" s="377"/>
      <c r="AE551" s="288"/>
      <c r="AF551" s="288"/>
      <c r="AG551" s="288"/>
      <c r="AH551" s="288"/>
      <c r="AI551" s="288"/>
      <c r="AJ551" s="288"/>
      <c r="AK551" s="374"/>
      <c r="AL551" s="91"/>
      <c r="AM551" s="376"/>
      <c r="AN551" s="376"/>
      <c r="AO551" s="286"/>
      <c r="AP551" s="286"/>
      <c r="AQ551" s="286"/>
      <c r="AR551" s="286"/>
      <c r="AS551" s="286"/>
      <c r="AT551" s="286"/>
      <c r="AU551" s="261"/>
      <c r="AV551" s="371"/>
      <c r="AW551" s="91"/>
      <c r="AX551" s="91"/>
      <c r="AY551" s="286"/>
      <c r="AZ551" s="286"/>
      <c r="BA551" s="286"/>
      <c r="BB551" s="286"/>
      <c r="BC551" s="286"/>
      <c r="BD551" s="286"/>
      <c r="BE551" s="261"/>
      <c r="BF551" s="261"/>
      <c r="BG551" s="261"/>
      <c r="BH551" s="261"/>
      <c r="BI551" s="261"/>
      <c r="BJ551" s="261"/>
      <c r="BK551" s="261"/>
      <c r="BL551" s="91"/>
      <c r="BM551" s="278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  <c r="BZ551" s="91"/>
      <c r="CA551" s="91"/>
      <c r="CB551" s="91"/>
      <c r="CC551" s="91"/>
      <c r="CD551" s="91"/>
      <c r="CE551" s="91"/>
      <c r="CF551" s="91"/>
      <c r="CG551" s="91"/>
      <c r="CH551" s="91"/>
      <c r="CI551" s="91"/>
      <c r="CJ551" s="91"/>
      <c r="CK551" s="91"/>
      <c r="CL551" s="91"/>
      <c r="CM551" s="91"/>
      <c r="CN551" s="91"/>
      <c r="CO551" s="91"/>
      <c r="CP551" s="91"/>
      <c r="CQ551" s="91"/>
      <c r="CR551" s="91"/>
      <c r="CS551" s="91"/>
      <c r="CT551" s="91"/>
      <c r="CU551" s="91"/>
      <c r="CV551" s="91"/>
      <c r="CW551" s="91"/>
      <c r="CX551" s="91"/>
      <c r="CY551" s="91"/>
      <c r="CZ551" s="91"/>
      <c r="DA551" s="91"/>
      <c r="DB551" s="91"/>
      <c r="DC551" s="91"/>
      <c r="DD551" s="91"/>
      <c r="DE551" s="91"/>
      <c r="DF551" s="91"/>
      <c r="DG551" s="91"/>
      <c r="DH551" s="91"/>
      <c r="DI551" s="91"/>
      <c r="DJ551" s="91"/>
      <c r="DK551" s="91"/>
      <c r="DL551" s="91"/>
      <c r="DM551" s="91"/>
      <c r="DN551" s="91"/>
      <c r="DO551" s="91"/>
      <c r="DP551" s="91"/>
      <c r="DQ551" s="91"/>
      <c r="DR551" s="91"/>
      <c r="DS551" s="91"/>
      <c r="DT551" s="91"/>
      <c r="DU551" s="91"/>
      <c r="DV551" s="91"/>
      <c r="DW551" s="91"/>
      <c r="DX551" s="91"/>
      <c r="DY551" s="91"/>
    </row>
    <row r="552" spans="1:129" ht="15.75">
      <c r="A552" s="238"/>
      <c r="D552" s="192"/>
      <c r="E552" s="258"/>
      <c r="F552" s="193"/>
      <c r="G552" s="91"/>
      <c r="H552" s="91"/>
      <c r="I552" s="294"/>
      <c r="J552" s="193"/>
      <c r="K552" s="193"/>
      <c r="L552" s="193"/>
      <c r="M552" s="295"/>
      <c r="N552" s="91"/>
      <c r="O552" s="193"/>
      <c r="P552" s="356"/>
      <c r="Q552" s="91"/>
      <c r="R552" s="356"/>
      <c r="S552" s="357"/>
      <c r="T552" s="357"/>
      <c r="U552" s="357"/>
      <c r="V552" s="357"/>
      <c r="W552" s="357"/>
      <c r="X552" s="357"/>
      <c r="Y552" s="357"/>
      <c r="Z552" s="357"/>
      <c r="AA552" s="374"/>
      <c r="AB552" s="377"/>
      <c r="AC552" s="377"/>
      <c r="AD552" s="377"/>
      <c r="AE552" s="288"/>
      <c r="AF552" s="288"/>
      <c r="AG552" s="288"/>
      <c r="AH552" s="288"/>
      <c r="AI552" s="288"/>
      <c r="AJ552" s="288"/>
      <c r="AK552" s="374"/>
      <c r="AL552" s="91"/>
      <c r="AM552" s="376"/>
      <c r="AN552" s="376"/>
      <c r="AO552" s="286"/>
      <c r="AP552" s="286"/>
      <c r="AQ552" s="286"/>
      <c r="AR552" s="286"/>
      <c r="AS552" s="286"/>
      <c r="AT552" s="286"/>
      <c r="AU552" s="261"/>
      <c r="AV552" s="371"/>
      <c r="AW552" s="91"/>
      <c r="AX552" s="91"/>
      <c r="AY552" s="286"/>
      <c r="AZ552" s="286"/>
      <c r="BA552" s="286"/>
      <c r="BB552" s="286"/>
      <c r="BC552" s="286"/>
      <c r="BD552" s="286"/>
      <c r="BE552" s="261"/>
      <c r="BF552" s="261"/>
      <c r="BG552" s="261"/>
      <c r="BH552" s="261"/>
      <c r="BI552" s="261"/>
      <c r="BJ552" s="261"/>
      <c r="BK552" s="261"/>
      <c r="BL552" s="91"/>
      <c r="BM552" s="278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  <c r="BZ552" s="91"/>
      <c r="CA552" s="91"/>
      <c r="CB552" s="91"/>
      <c r="CC552" s="91"/>
      <c r="CD552" s="91"/>
      <c r="CE552" s="91"/>
      <c r="CF552" s="91"/>
      <c r="CG552" s="91"/>
      <c r="CH552" s="91"/>
      <c r="CI552" s="91"/>
      <c r="CJ552" s="91"/>
      <c r="CK552" s="91"/>
      <c r="CL552" s="91"/>
      <c r="CM552" s="91"/>
      <c r="CN552" s="91"/>
      <c r="CO552" s="91"/>
      <c r="CP552" s="91"/>
      <c r="CQ552" s="91"/>
      <c r="CR552" s="91"/>
      <c r="CS552" s="91"/>
      <c r="CT552" s="91"/>
      <c r="CU552" s="91"/>
      <c r="CV552" s="91"/>
      <c r="CW552" s="91"/>
      <c r="CX552" s="91"/>
      <c r="CY552" s="91"/>
      <c r="CZ552" s="91"/>
      <c r="DA552" s="91"/>
      <c r="DB552" s="91"/>
      <c r="DC552" s="91"/>
      <c r="DD552" s="91"/>
      <c r="DE552" s="91"/>
      <c r="DF552" s="91"/>
      <c r="DG552" s="91"/>
      <c r="DH552" s="91"/>
      <c r="DI552" s="91"/>
      <c r="DJ552" s="91"/>
      <c r="DK552" s="91"/>
      <c r="DL552" s="91"/>
      <c r="DM552" s="91"/>
      <c r="DN552" s="91"/>
      <c r="DO552" s="91"/>
      <c r="DP552" s="91"/>
      <c r="DQ552" s="91"/>
      <c r="DR552" s="91"/>
      <c r="DS552" s="91"/>
      <c r="DT552" s="91"/>
      <c r="DU552" s="91"/>
      <c r="DV552" s="91"/>
      <c r="DW552" s="91"/>
      <c r="DX552" s="91"/>
      <c r="DY552" s="91"/>
    </row>
    <row r="553" spans="1:129" ht="15.75">
      <c r="A553" s="238"/>
      <c r="D553" s="192"/>
      <c r="E553" s="258"/>
      <c r="F553" s="193"/>
      <c r="G553" s="91"/>
      <c r="H553" s="91"/>
      <c r="I553" s="294"/>
      <c r="J553" s="193"/>
      <c r="K553" s="193"/>
      <c r="L553" s="193"/>
      <c r="M553" s="295"/>
      <c r="N553" s="91"/>
      <c r="O553" s="193"/>
      <c r="P553" s="356"/>
      <c r="Q553" s="91"/>
      <c r="R553" s="356"/>
      <c r="S553" s="357"/>
      <c r="T553" s="357"/>
      <c r="U553" s="357"/>
      <c r="V553" s="357"/>
      <c r="W553" s="357"/>
      <c r="X553" s="357"/>
      <c r="Y553" s="357"/>
      <c r="Z553" s="357"/>
      <c r="AA553" s="374"/>
      <c r="AB553" s="377"/>
      <c r="AC553" s="377"/>
      <c r="AD553" s="377"/>
      <c r="AE553" s="288"/>
      <c r="AF553" s="288"/>
      <c r="AG553" s="288"/>
      <c r="AH553" s="288"/>
      <c r="AI553" s="288"/>
      <c r="AJ553" s="288"/>
      <c r="AK553" s="374"/>
      <c r="AL553" s="91"/>
      <c r="AM553" s="376"/>
      <c r="AN553" s="376"/>
      <c r="AO553" s="286"/>
      <c r="AP553" s="286"/>
      <c r="AQ553" s="286"/>
      <c r="AR553" s="286"/>
      <c r="AS553" s="286"/>
      <c r="AT553" s="286"/>
      <c r="AU553" s="261"/>
      <c r="AV553" s="371"/>
      <c r="AW553" s="91"/>
      <c r="AX553" s="91"/>
      <c r="AY553" s="286"/>
      <c r="AZ553" s="286"/>
      <c r="BA553" s="286"/>
      <c r="BB553" s="286"/>
      <c r="BC553" s="286"/>
      <c r="BD553" s="286"/>
      <c r="BE553" s="261"/>
      <c r="BF553" s="261"/>
      <c r="BG553" s="261"/>
      <c r="BH553" s="261"/>
      <c r="BI553" s="261"/>
      <c r="BJ553" s="261"/>
      <c r="BK553" s="261"/>
      <c r="BL553" s="91"/>
      <c r="BM553" s="278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  <c r="BZ553" s="91"/>
      <c r="CA553" s="91"/>
      <c r="CB553" s="91"/>
      <c r="CC553" s="91"/>
      <c r="CD553" s="91"/>
      <c r="CE553" s="91"/>
      <c r="CF553" s="91"/>
      <c r="CG553" s="91"/>
      <c r="CH553" s="91"/>
      <c r="CI553" s="91"/>
      <c r="CJ553" s="91"/>
      <c r="CK553" s="91"/>
      <c r="CL553" s="91"/>
      <c r="CM553" s="91"/>
      <c r="CN553" s="91"/>
      <c r="CO553" s="91"/>
      <c r="CP553" s="91"/>
      <c r="CQ553" s="91"/>
      <c r="CR553" s="91"/>
      <c r="CS553" s="91"/>
      <c r="CT553" s="91"/>
      <c r="CU553" s="91"/>
      <c r="CV553" s="91"/>
      <c r="CW553" s="91"/>
      <c r="CX553" s="91"/>
      <c r="CY553" s="91"/>
      <c r="CZ553" s="91"/>
      <c r="DA553" s="91"/>
      <c r="DB553" s="91"/>
      <c r="DC553" s="91"/>
      <c r="DD553" s="91"/>
      <c r="DE553" s="91"/>
      <c r="DF553" s="91"/>
      <c r="DG553" s="91"/>
      <c r="DH553" s="91"/>
      <c r="DI553" s="91"/>
      <c r="DJ553" s="91"/>
      <c r="DK553" s="91"/>
      <c r="DL553" s="91"/>
      <c r="DM553" s="91"/>
      <c r="DN553" s="91"/>
      <c r="DO553" s="91"/>
      <c r="DP553" s="91"/>
      <c r="DQ553" s="91"/>
      <c r="DR553" s="91"/>
      <c r="DS553" s="91"/>
      <c r="DT553" s="91"/>
      <c r="DU553" s="91"/>
      <c r="DV553" s="91"/>
      <c r="DW553" s="91"/>
      <c r="DX553" s="91"/>
      <c r="DY553" s="91"/>
    </row>
    <row r="554" spans="1:129" ht="15.75">
      <c r="A554" s="238"/>
      <c r="D554" s="192"/>
      <c r="E554" s="258"/>
      <c r="F554" s="193"/>
      <c r="G554" s="91"/>
      <c r="H554" s="91"/>
      <c r="I554" s="294"/>
      <c r="J554" s="193"/>
      <c r="K554" s="193"/>
      <c r="L554" s="193"/>
      <c r="M554" s="295"/>
      <c r="N554" s="91"/>
      <c r="O554" s="193"/>
      <c r="P554" s="356"/>
      <c r="Q554" s="91"/>
      <c r="R554" s="356"/>
      <c r="S554" s="357"/>
      <c r="T554" s="357"/>
      <c r="U554" s="357"/>
      <c r="V554" s="357"/>
      <c r="W554" s="357"/>
      <c r="X554" s="357"/>
      <c r="Y554" s="357"/>
      <c r="Z554" s="357"/>
      <c r="AA554" s="374"/>
      <c r="AB554" s="377"/>
      <c r="AC554" s="377"/>
      <c r="AD554" s="377"/>
      <c r="AE554" s="288"/>
      <c r="AF554" s="288"/>
      <c r="AG554" s="288"/>
      <c r="AH554" s="288"/>
      <c r="AI554" s="288"/>
      <c r="AJ554" s="288"/>
      <c r="AK554" s="374"/>
      <c r="AL554" s="91"/>
      <c r="AM554" s="376"/>
      <c r="AN554" s="376"/>
      <c r="AO554" s="286"/>
      <c r="AP554" s="286"/>
      <c r="AQ554" s="286"/>
      <c r="AR554" s="286"/>
      <c r="AS554" s="286"/>
      <c r="AT554" s="286"/>
      <c r="AU554" s="261"/>
      <c r="AV554" s="371"/>
      <c r="AW554" s="91"/>
      <c r="AX554" s="91"/>
      <c r="AY554" s="286"/>
      <c r="AZ554" s="286"/>
      <c r="BA554" s="286"/>
      <c r="BB554" s="286"/>
      <c r="BC554" s="286"/>
      <c r="BD554" s="286"/>
      <c r="BE554" s="261"/>
      <c r="BF554" s="261"/>
      <c r="BG554" s="261"/>
      <c r="BH554" s="261"/>
      <c r="BI554" s="261"/>
      <c r="BJ554" s="261"/>
      <c r="BK554" s="261"/>
      <c r="BL554" s="91"/>
      <c r="BM554" s="278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  <c r="BZ554" s="91"/>
      <c r="CA554" s="91"/>
      <c r="CB554" s="91"/>
      <c r="CC554" s="91"/>
      <c r="CD554" s="91"/>
      <c r="CE554" s="91"/>
      <c r="CF554" s="91"/>
      <c r="CG554" s="91"/>
      <c r="CH554" s="91"/>
      <c r="CI554" s="91"/>
      <c r="CJ554" s="91"/>
      <c r="CK554" s="91"/>
      <c r="CL554" s="91"/>
      <c r="CM554" s="91"/>
      <c r="CN554" s="91"/>
      <c r="CO554" s="91"/>
      <c r="CP554" s="91"/>
      <c r="CQ554" s="91"/>
      <c r="CR554" s="91"/>
      <c r="CS554" s="91"/>
      <c r="CT554" s="91"/>
      <c r="CU554" s="91"/>
      <c r="CV554" s="91"/>
      <c r="CW554" s="91"/>
      <c r="CX554" s="91"/>
      <c r="CY554" s="91"/>
      <c r="CZ554" s="91"/>
      <c r="DA554" s="91"/>
      <c r="DB554" s="91"/>
      <c r="DC554" s="91"/>
      <c r="DD554" s="91"/>
      <c r="DE554" s="91"/>
      <c r="DF554" s="91"/>
      <c r="DG554" s="91"/>
      <c r="DH554" s="91"/>
      <c r="DI554" s="91"/>
      <c r="DJ554" s="91"/>
      <c r="DK554" s="91"/>
      <c r="DL554" s="91"/>
      <c r="DM554" s="91"/>
      <c r="DN554" s="91"/>
      <c r="DO554" s="91"/>
      <c r="DP554" s="91"/>
      <c r="DQ554" s="91"/>
      <c r="DR554" s="91"/>
      <c r="DS554" s="91"/>
      <c r="DT554" s="91"/>
      <c r="DU554" s="91"/>
      <c r="DV554" s="91"/>
      <c r="DW554" s="91"/>
      <c r="DX554" s="91"/>
      <c r="DY554" s="91"/>
    </row>
    <row r="555" spans="1:129" ht="15.75">
      <c r="A555" s="238"/>
      <c r="D555" s="192"/>
      <c r="E555" s="258"/>
      <c r="F555" s="193"/>
      <c r="G555" s="91"/>
      <c r="H555" s="91"/>
      <c r="I555" s="294"/>
      <c r="J555" s="193"/>
      <c r="K555" s="193"/>
      <c r="L555" s="193"/>
      <c r="M555" s="295"/>
      <c r="N555" s="91"/>
      <c r="O555" s="193"/>
      <c r="P555" s="356"/>
      <c r="Q555" s="91"/>
      <c r="R555" s="356"/>
      <c r="S555" s="357"/>
      <c r="T555" s="357"/>
      <c r="U555" s="357"/>
      <c r="V555" s="357"/>
      <c r="W555" s="357"/>
      <c r="X555" s="357"/>
      <c r="Y555" s="357"/>
      <c r="Z555" s="357"/>
      <c r="AA555" s="374"/>
      <c r="AB555" s="377"/>
      <c r="AC555" s="377"/>
      <c r="AD555" s="377"/>
      <c r="AE555" s="288"/>
      <c r="AF555" s="288"/>
      <c r="AG555" s="288"/>
      <c r="AH555" s="288"/>
      <c r="AI555" s="288"/>
      <c r="AJ555" s="288"/>
      <c r="AK555" s="374"/>
      <c r="AL555" s="91"/>
      <c r="AM555" s="376"/>
      <c r="AN555" s="376"/>
      <c r="AO555" s="286"/>
      <c r="AP555" s="286"/>
      <c r="AQ555" s="286"/>
      <c r="AR555" s="286"/>
      <c r="AS555" s="286"/>
      <c r="AT555" s="286"/>
      <c r="AU555" s="261"/>
      <c r="AV555" s="371"/>
      <c r="AW555" s="91"/>
      <c r="AX555" s="91"/>
      <c r="AY555" s="286"/>
      <c r="AZ555" s="286"/>
      <c r="BA555" s="286"/>
      <c r="BB555" s="286"/>
      <c r="BC555" s="286"/>
      <c r="BD555" s="286"/>
      <c r="BE555" s="261"/>
      <c r="BF555" s="261"/>
      <c r="BG555" s="261"/>
      <c r="BH555" s="261"/>
      <c r="BI555" s="261"/>
      <c r="BJ555" s="261"/>
      <c r="BK555" s="261"/>
      <c r="BL555" s="91"/>
      <c r="BM555" s="278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  <c r="BZ555" s="91"/>
      <c r="CA555" s="91"/>
      <c r="CB555" s="91"/>
      <c r="CC555" s="91"/>
      <c r="CD555" s="91"/>
      <c r="CE555" s="91"/>
      <c r="CF555" s="91"/>
      <c r="CG555" s="91"/>
      <c r="CH555" s="91"/>
      <c r="CI555" s="91"/>
      <c r="CJ555" s="91"/>
      <c r="CK555" s="91"/>
      <c r="CL555" s="91"/>
      <c r="CM555" s="91"/>
      <c r="CN555" s="91"/>
      <c r="CO555" s="91"/>
      <c r="CP555" s="91"/>
      <c r="CQ555" s="91"/>
      <c r="CR555" s="91"/>
      <c r="CS555" s="91"/>
      <c r="CT555" s="91"/>
      <c r="CU555" s="91"/>
      <c r="CV555" s="91"/>
      <c r="CW555" s="91"/>
      <c r="CX555" s="91"/>
      <c r="CY555" s="91"/>
      <c r="CZ555" s="91"/>
      <c r="DA555" s="91"/>
      <c r="DB555" s="91"/>
      <c r="DC555" s="91"/>
      <c r="DD555" s="91"/>
      <c r="DE555" s="91"/>
      <c r="DF555" s="91"/>
      <c r="DG555" s="91"/>
      <c r="DH555" s="91"/>
      <c r="DI555" s="91"/>
      <c r="DJ555" s="91"/>
      <c r="DK555" s="91"/>
      <c r="DL555" s="91"/>
      <c r="DM555" s="91"/>
      <c r="DN555" s="91"/>
      <c r="DO555" s="91"/>
      <c r="DP555" s="91"/>
      <c r="DQ555" s="91"/>
      <c r="DR555" s="91"/>
      <c r="DS555" s="91"/>
      <c r="DT555" s="91"/>
      <c r="DU555" s="91"/>
      <c r="DV555" s="91"/>
      <c r="DW555" s="91"/>
      <c r="DX555" s="91"/>
      <c r="DY555" s="91"/>
    </row>
    <row r="556" spans="1:129" ht="15.75">
      <c r="A556" s="238"/>
      <c r="D556" s="192"/>
      <c r="E556" s="258"/>
      <c r="F556" s="193"/>
      <c r="G556" s="91"/>
      <c r="H556" s="91"/>
      <c r="I556" s="294"/>
      <c r="J556" s="193"/>
      <c r="K556" s="193"/>
      <c r="L556" s="193"/>
      <c r="M556" s="295"/>
      <c r="N556" s="91"/>
      <c r="O556" s="193"/>
      <c r="P556" s="356"/>
      <c r="Q556" s="91"/>
      <c r="R556" s="356"/>
      <c r="S556" s="357"/>
      <c r="T556" s="357"/>
      <c r="U556" s="357"/>
      <c r="V556" s="357"/>
      <c r="W556" s="357"/>
      <c r="X556" s="357"/>
      <c r="Y556" s="357"/>
      <c r="Z556" s="357"/>
      <c r="AA556" s="374"/>
      <c r="AB556" s="377"/>
      <c r="AC556" s="377"/>
      <c r="AD556" s="377"/>
      <c r="AE556" s="288"/>
      <c r="AF556" s="288"/>
      <c r="AG556" s="288"/>
      <c r="AH556" s="288"/>
      <c r="AI556" s="288"/>
      <c r="AJ556" s="288"/>
      <c r="AK556" s="374"/>
      <c r="AL556" s="91"/>
      <c r="AM556" s="376"/>
      <c r="AN556" s="376"/>
      <c r="AO556" s="286"/>
      <c r="AP556" s="286"/>
      <c r="AQ556" s="286"/>
      <c r="AR556" s="286"/>
      <c r="AS556" s="286"/>
      <c r="AT556" s="286"/>
      <c r="AU556" s="261"/>
      <c r="AV556" s="371"/>
      <c r="AW556" s="91"/>
      <c r="AX556" s="91"/>
      <c r="AY556" s="286"/>
      <c r="AZ556" s="286"/>
      <c r="BA556" s="286"/>
      <c r="BB556" s="286"/>
      <c r="BC556" s="286"/>
      <c r="BD556" s="286"/>
      <c r="BE556" s="261"/>
      <c r="BF556" s="261"/>
      <c r="BG556" s="261"/>
      <c r="BH556" s="261"/>
      <c r="BI556" s="261"/>
      <c r="BJ556" s="261"/>
      <c r="BK556" s="261"/>
      <c r="BL556" s="91"/>
      <c r="BM556" s="278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91"/>
      <c r="CG556" s="91"/>
      <c r="CH556" s="91"/>
      <c r="CI556" s="91"/>
      <c r="CJ556" s="91"/>
      <c r="CK556" s="91"/>
      <c r="CL556" s="91"/>
      <c r="CM556" s="91"/>
      <c r="CN556" s="91"/>
      <c r="CO556" s="91"/>
      <c r="CP556" s="91"/>
      <c r="CQ556" s="91"/>
      <c r="CR556" s="91"/>
      <c r="CS556" s="91"/>
      <c r="CT556" s="91"/>
      <c r="CU556" s="91"/>
      <c r="CV556" s="91"/>
      <c r="CW556" s="91"/>
      <c r="CX556" s="91"/>
      <c r="CY556" s="91"/>
      <c r="CZ556" s="91"/>
      <c r="DA556" s="91"/>
      <c r="DB556" s="91"/>
      <c r="DC556" s="91"/>
      <c r="DD556" s="91"/>
      <c r="DE556" s="91"/>
      <c r="DF556" s="91"/>
      <c r="DG556" s="91"/>
      <c r="DH556" s="91"/>
      <c r="DI556" s="91"/>
      <c r="DJ556" s="91"/>
      <c r="DK556" s="91"/>
      <c r="DL556" s="91"/>
      <c r="DM556" s="91"/>
      <c r="DN556" s="91"/>
      <c r="DO556" s="91"/>
      <c r="DP556" s="91"/>
      <c r="DQ556" s="91"/>
      <c r="DR556" s="91"/>
      <c r="DS556" s="91"/>
      <c r="DT556" s="91"/>
      <c r="DU556" s="91"/>
      <c r="DV556" s="91"/>
      <c r="DW556" s="91"/>
      <c r="DX556" s="91"/>
      <c r="DY556" s="91"/>
    </row>
    <row r="557" spans="1:129" ht="15.75">
      <c r="A557" s="238"/>
      <c r="D557" s="192"/>
      <c r="E557" s="258"/>
      <c r="F557" s="193"/>
      <c r="G557" s="91"/>
      <c r="H557" s="91"/>
      <c r="I557" s="294"/>
      <c r="J557" s="193"/>
      <c r="K557" s="193"/>
      <c r="L557" s="193"/>
      <c r="M557" s="295"/>
      <c r="N557" s="91"/>
      <c r="O557" s="193"/>
      <c r="P557" s="356"/>
      <c r="Q557" s="91"/>
      <c r="R557" s="356"/>
      <c r="S557" s="357"/>
      <c r="T557" s="357"/>
      <c r="U557" s="357"/>
      <c r="V557" s="357"/>
      <c r="W557" s="357"/>
      <c r="X557" s="357"/>
      <c r="Y557" s="357"/>
      <c r="Z557" s="357"/>
      <c r="AA557" s="374"/>
      <c r="AB557" s="377"/>
      <c r="AC557" s="377"/>
      <c r="AD557" s="377"/>
      <c r="AE557" s="288"/>
      <c r="AF557" s="288"/>
      <c r="AG557" s="288"/>
      <c r="AH557" s="288"/>
      <c r="AI557" s="288"/>
      <c r="AJ557" s="288"/>
      <c r="AK557" s="374"/>
      <c r="AL557" s="91"/>
      <c r="AM557" s="376"/>
      <c r="AN557" s="376"/>
      <c r="AO557" s="286"/>
      <c r="AP557" s="286"/>
      <c r="AQ557" s="286"/>
      <c r="AR557" s="286"/>
      <c r="AS557" s="286"/>
      <c r="AT557" s="286"/>
      <c r="AU557" s="261"/>
      <c r="AV557" s="371"/>
      <c r="AW557" s="91"/>
      <c r="AX557" s="91"/>
      <c r="AY557" s="286"/>
      <c r="AZ557" s="286"/>
      <c r="BA557" s="286"/>
      <c r="BB557" s="286"/>
      <c r="BC557" s="286"/>
      <c r="BD557" s="286"/>
      <c r="BE557" s="261"/>
      <c r="BF557" s="261"/>
      <c r="BG557" s="261"/>
      <c r="BH557" s="261"/>
      <c r="BI557" s="261"/>
      <c r="BJ557" s="261"/>
      <c r="BK557" s="261"/>
      <c r="BL557" s="91"/>
      <c r="BM557" s="278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  <c r="BZ557" s="91"/>
      <c r="CA557" s="91"/>
      <c r="CB557" s="91"/>
      <c r="CC557" s="91"/>
      <c r="CD557" s="91"/>
      <c r="CE557" s="91"/>
      <c r="CF557" s="91"/>
      <c r="CG557" s="91"/>
      <c r="CH557" s="91"/>
      <c r="CI557" s="91"/>
      <c r="CJ557" s="91"/>
      <c r="CK557" s="91"/>
      <c r="CL557" s="91"/>
      <c r="CM557" s="91"/>
      <c r="CN557" s="91"/>
      <c r="CO557" s="91"/>
      <c r="CP557" s="91"/>
      <c r="CQ557" s="91"/>
      <c r="CR557" s="91"/>
      <c r="CS557" s="91"/>
      <c r="CT557" s="91"/>
      <c r="CU557" s="91"/>
      <c r="CV557" s="91"/>
      <c r="CW557" s="91"/>
      <c r="CX557" s="91"/>
      <c r="CY557" s="91"/>
      <c r="CZ557" s="91"/>
      <c r="DA557" s="91"/>
      <c r="DB557" s="91"/>
      <c r="DC557" s="91"/>
      <c r="DD557" s="91"/>
      <c r="DE557" s="91"/>
      <c r="DF557" s="91"/>
      <c r="DG557" s="91"/>
      <c r="DH557" s="91"/>
      <c r="DI557" s="91"/>
      <c r="DJ557" s="91"/>
      <c r="DK557" s="91"/>
      <c r="DL557" s="91"/>
      <c r="DM557" s="91"/>
      <c r="DN557" s="91"/>
      <c r="DO557" s="91"/>
      <c r="DP557" s="91"/>
      <c r="DQ557" s="91"/>
      <c r="DR557" s="91"/>
      <c r="DS557" s="91"/>
      <c r="DT557" s="91"/>
      <c r="DU557" s="91"/>
      <c r="DV557" s="91"/>
      <c r="DW557" s="91"/>
      <c r="DX557" s="91"/>
      <c r="DY557" s="91"/>
    </row>
    <row r="558" spans="1:129" ht="15.75">
      <c r="A558" s="238"/>
      <c r="D558" s="192"/>
      <c r="E558" s="258"/>
      <c r="F558" s="193"/>
      <c r="G558" s="91"/>
      <c r="H558" s="91"/>
      <c r="I558" s="294"/>
      <c r="J558" s="193"/>
      <c r="K558" s="193"/>
      <c r="L558" s="193"/>
      <c r="M558" s="295"/>
      <c r="N558" s="91"/>
      <c r="O558" s="193"/>
      <c r="P558" s="356"/>
      <c r="Q558" s="91"/>
      <c r="R558" s="356"/>
      <c r="S558" s="357"/>
      <c r="T558" s="357"/>
      <c r="U558" s="357"/>
      <c r="V558" s="357"/>
      <c r="W558" s="357"/>
      <c r="X558" s="357"/>
      <c r="Y558" s="357"/>
      <c r="Z558" s="357"/>
      <c r="AA558" s="374"/>
      <c r="AB558" s="377"/>
      <c r="AC558" s="377"/>
      <c r="AD558" s="377"/>
      <c r="AE558" s="288"/>
      <c r="AF558" s="288"/>
      <c r="AG558" s="288"/>
      <c r="AH558" s="288"/>
      <c r="AI558" s="288"/>
      <c r="AJ558" s="288"/>
      <c r="AK558" s="374"/>
      <c r="AL558" s="91"/>
      <c r="AM558" s="376"/>
      <c r="AN558" s="376"/>
      <c r="AO558" s="286"/>
      <c r="AP558" s="286"/>
      <c r="AQ558" s="286"/>
      <c r="AR558" s="286"/>
      <c r="AS558" s="286"/>
      <c r="AT558" s="286"/>
      <c r="AU558" s="261"/>
      <c r="AV558" s="371"/>
      <c r="AW558" s="91"/>
      <c r="AX558" s="91"/>
      <c r="AY558" s="286"/>
      <c r="AZ558" s="286"/>
      <c r="BA558" s="286"/>
      <c r="BB558" s="286"/>
      <c r="BC558" s="286"/>
      <c r="BD558" s="286"/>
      <c r="BE558" s="261"/>
      <c r="BF558" s="261"/>
      <c r="BG558" s="261"/>
      <c r="BH558" s="261"/>
      <c r="BI558" s="261"/>
      <c r="BJ558" s="261"/>
      <c r="BK558" s="261"/>
      <c r="BL558" s="91"/>
      <c r="BM558" s="278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  <c r="BZ558" s="91"/>
      <c r="CA558" s="91"/>
      <c r="CB558" s="91"/>
      <c r="CC558" s="91"/>
      <c r="CD558" s="91"/>
      <c r="CE558" s="91"/>
      <c r="CF558" s="91"/>
      <c r="CG558" s="91"/>
      <c r="CH558" s="91"/>
      <c r="CI558" s="91"/>
      <c r="CJ558" s="91"/>
      <c r="CK558" s="91"/>
      <c r="CL558" s="91"/>
      <c r="CM558" s="91"/>
      <c r="CN558" s="91"/>
      <c r="CO558" s="91"/>
      <c r="CP558" s="91"/>
      <c r="CQ558" s="91"/>
      <c r="CR558" s="91"/>
      <c r="CS558" s="91"/>
      <c r="CT558" s="91"/>
      <c r="CU558" s="91"/>
      <c r="CV558" s="91"/>
      <c r="CW558" s="91"/>
      <c r="CX558" s="91"/>
      <c r="CY558" s="91"/>
      <c r="CZ558" s="91"/>
      <c r="DA558" s="91"/>
      <c r="DB558" s="91"/>
      <c r="DC558" s="91"/>
      <c r="DD558" s="91"/>
      <c r="DE558" s="91"/>
      <c r="DF558" s="91"/>
      <c r="DG558" s="91"/>
      <c r="DH558" s="91"/>
      <c r="DI558" s="91"/>
      <c r="DJ558" s="91"/>
      <c r="DK558" s="91"/>
      <c r="DL558" s="91"/>
      <c r="DM558" s="91"/>
      <c r="DN558" s="91"/>
      <c r="DO558" s="91"/>
      <c r="DP558" s="91"/>
      <c r="DQ558" s="91"/>
      <c r="DR558" s="91"/>
      <c r="DS558" s="91"/>
      <c r="DT558" s="91"/>
      <c r="DU558" s="91"/>
      <c r="DV558" s="91"/>
      <c r="DW558" s="91"/>
      <c r="DX558" s="91"/>
      <c r="DY558" s="91"/>
    </row>
    <row r="560" spans="1:129" ht="15.75">
      <c r="A560" s="238"/>
      <c r="D560" s="192"/>
      <c r="E560" s="258"/>
      <c r="F560" s="193"/>
      <c r="G560" s="91"/>
      <c r="H560" s="91"/>
      <c r="I560" s="294"/>
      <c r="J560" s="193"/>
      <c r="K560" s="193"/>
      <c r="L560" s="193"/>
      <c r="M560" s="295"/>
      <c r="N560" s="91"/>
      <c r="O560" s="193"/>
      <c r="P560" s="356"/>
      <c r="Q560" s="91"/>
      <c r="R560" s="356"/>
      <c r="S560" s="357"/>
      <c r="T560" s="357"/>
      <c r="U560" s="357"/>
      <c r="V560" s="357"/>
      <c r="W560" s="357"/>
      <c r="X560" s="357"/>
      <c r="Y560" s="357"/>
      <c r="Z560" s="357"/>
      <c r="AA560" s="374"/>
      <c r="AB560" s="377"/>
      <c r="AC560" s="377"/>
      <c r="AD560" s="377"/>
      <c r="AE560" s="288"/>
      <c r="AF560" s="288"/>
      <c r="AG560" s="288"/>
      <c r="AH560" s="288"/>
      <c r="AI560" s="288"/>
      <c r="AJ560" s="288"/>
      <c r="AK560" s="374"/>
      <c r="AL560" s="91"/>
      <c r="AM560" s="376"/>
      <c r="AN560" s="376"/>
      <c r="AO560" s="286"/>
      <c r="AP560" s="286"/>
      <c r="AQ560" s="286"/>
      <c r="AR560" s="286"/>
      <c r="AS560" s="286"/>
      <c r="AT560" s="286"/>
      <c r="AU560" s="261"/>
      <c r="AV560" s="371"/>
      <c r="AW560" s="91"/>
      <c r="AX560" s="91"/>
      <c r="AY560" s="286"/>
      <c r="AZ560" s="286"/>
      <c r="BA560" s="286"/>
      <c r="BB560" s="286"/>
      <c r="BC560" s="286"/>
      <c r="BD560" s="286"/>
      <c r="BE560" s="261"/>
      <c r="BF560" s="261"/>
      <c r="BG560" s="261"/>
      <c r="BH560" s="261"/>
      <c r="BI560" s="261"/>
      <c r="BJ560" s="261"/>
      <c r="BK560" s="261"/>
      <c r="BL560" s="91"/>
      <c r="BM560" s="278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  <c r="BZ560" s="91"/>
      <c r="CA560" s="91"/>
      <c r="CB560" s="91"/>
      <c r="CC560" s="91"/>
      <c r="CD560" s="91"/>
      <c r="CE560" s="91"/>
      <c r="CF560" s="91"/>
      <c r="CG560" s="91"/>
      <c r="CH560" s="91"/>
      <c r="CI560" s="91"/>
      <c r="CJ560" s="91"/>
      <c r="CK560" s="91"/>
      <c r="CL560" s="91"/>
      <c r="CM560" s="91"/>
      <c r="CN560" s="91"/>
      <c r="CO560" s="91"/>
      <c r="CP560" s="91"/>
      <c r="CQ560" s="91"/>
      <c r="CR560" s="91"/>
      <c r="CS560" s="91"/>
      <c r="CT560" s="91"/>
      <c r="CU560" s="91"/>
      <c r="CV560" s="91"/>
      <c r="CW560" s="91"/>
      <c r="CX560" s="91"/>
      <c r="CY560" s="91"/>
      <c r="CZ560" s="91"/>
      <c r="DA560" s="91"/>
      <c r="DB560" s="91"/>
      <c r="DC560" s="91"/>
      <c r="DD560" s="91"/>
      <c r="DE560" s="91"/>
      <c r="DF560" s="91"/>
      <c r="DG560" s="91"/>
      <c r="DH560" s="91"/>
      <c r="DI560" s="91"/>
      <c r="DJ560" s="91"/>
      <c r="DK560" s="91"/>
      <c r="DL560" s="91"/>
      <c r="DM560" s="91"/>
      <c r="DN560" s="91"/>
      <c r="DO560" s="91"/>
      <c r="DP560" s="91"/>
      <c r="DQ560" s="91"/>
      <c r="DR560" s="91"/>
      <c r="DS560" s="91"/>
      <c r="DT560" s="91"/>
      <c r="DU560" s="91"/>
      <c r="DV560" s="91"/>
      <c r="DW560" s="91"/>
      <c r="DX560" s="91"/>
      <c r="DY560" s="91"/>
    </row>
    <row r="561" spans="1:129" ht="15.75">
      <c r="A561" s="238"/>
      <c r="D561" s="192"/>
      <c r="E561" s="258"/>
      <c r="F561" s="193"/>
      <c r="G561" s="91"/>
      <c r="H561" s="91"/>
      <c r="I561" s="294"/>
      <c r="J561" s="193"/>
      <c r="K561" s="193"/>
      <c r="L561" s="193"/>
      <c r="M561" s="295"/>
      <c r="N561" s="91"/>
      <c r="O561" s="193"/>
      <c r="P561" s="356"/>
      <c r="Q561" s="91"/>
      <c r="R561" s="356"/>
      <c r="S561" s="357"/>
      <c r="T561" s="357"/>
      <c r="U561" s="357"/>
      <c r="V561" s="357"/>
      <c r="W561" s="357"/>
      <c r="X561" s="357"/>
      <c r="Y561" s="357"/>
      <c r="Z561" s="357"/>
      <c r="AA561" s="374"/>
      <c r="AB561" s="377"/>
      <c r="AC561" s="377"/>
      <c r="AD561" s="377"/>
      <c r="AE561" s="288"/>
      <c r="AF561" s="288"/>
      <c r="AG561" s="288"/>
      <c r="AH561" s="288"/>
      <c r="AI561" s="288"/>
      <c r="AJ561" s="288"/>
      <c r="AK561" s="374"/>
      <c r="AL561" s="91"/>
      <c r="AM561" s="376"/>
      <c r="AN561" s="376"/>
      <c r="AO561" s="286"/>
      <c r="AP561" s="286"/>
      <c r="AQ561" s="286"/>
      <c r="AR561" s="286"/>
      <c r="AS561" s="286"/>
      <c r="AT561" s="286"/>
      <c r="AU561" s="261"/>
      <c r="AV561" s="371"/>
      <c r="AW561" s="91"/>
      <c r="AX561" s="91"/>
      <c r="AY561" s="286"/>
      <c r="AZ561" s="286"/>
      <c r="BA561" s="286"/>
      <c r="BB561" s="286"/>
      <c r="BC561" s="286"/>
      <c r="BD561" s="286"/>
      <c r="BE561" s="261"/>
      <c r="BF561" s="261"/>
      <c r="BG561" s="261"/>
      <c r="BH561" s="261"/>
      <c r="BI561" s="261"/>
      <c r="BJ561" s="261"/>
      <c r="BK561" s="261"/>
      <c r="BL561" s="91"/>
      <c r="BM561" s="278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  <c r="BZ561" s="91"/>
      <c r="CA561" s="91"/>
      <c r="CB561" s="91"/>
      <c r="CC561" s="91"/>
      <c r="CD561" s="91"/>
      <c r="CE561" s="91"/>
      <c r="CF561" s="91"/>
      <c r="CG561" s="91"/>
      <c r="CH561" s="91"/>
      <c r="CI561" s="91"/>
      <c r="CJ561" s="91"/>
      <c r="CK561" s="91"/>
      <c r="CL561" s="91"/>
      <c r="CM561" s="91"/>
      <c r="CN561" s="91"/>
      <c r="CO561" s="91"/>
      <c r="CP561" s="91"/>
      <c r="CQ561" s="91"/>
      <c r="CR561" s="91"/>
      <c r="CS561" s="91"/>
      <c r="CT561" s="91"/>
      <c r="CU561" s="91"/>
      <c r="CV561" s="91"/>
      <c r="CW561" s="91"/>
      <c r="CX561" s="91"/>
      <c r="CY561" s="91"/>
      <c r="CZ561" s="91"/>
      <c r="DA561" s="91"/>
      <c r="DB561" s="91"/>
      <c r="DC561" s="91"/>
      <c r="DD561" s="91"/>
      <c r="DE561" s="91"/>
      <c r="DF561" s="91"/>
      <c r="DG561" s="91"/>
      <c r="DH561" s="91"/>
      <c r="DI561" s="91"/>
      <c r="DJ561" s="91"/>
      <c r="DK561" s="91"/>
      <c r="DL561" s="91"/>
      <c r="DM561" s="91"/>
      <c r="DN561" s="91"/>
      <c r="DO561" s="91"/>
      <c r="DP561" s="91"/>
      <c r="DQ561" s="91"/>
      <c r="DR561" s="91"/>
      <c r="DS561" s="91"/>
      <c r="DT561" s="91"/>
      <c r="DU561" s="91"/>
      <c r="DV561" s="91"/>
      <c r="DW561" s="91"/>
      <c r="DX561" s="91"/>
      <c r="DY561" s="91"/>
    </row>
    <row r="562" spans="1:129" ht="15.75">
      <c r="A562" s="238"/>
      <c r="D562" s="192"/>
      <c r="E562" s="258"/>
      <c r="F562" s="193"/>
      <c r="G562" s="91"/>
      <c r="H562" s="91"/>
      <c r="I562" s="294"/>
      <c r="J562" s="193"/>
      <c r="K562" s="193"/>
      <c r="L562" s="193"/>
      <c r="M562" s="295"/>
      <c r="N562" s="91"/>
      <c r="O562" s="193"/>
      <c r="P562" s="356"/>
      <c r="Q562" s="91"/>
      <c r="R562" s="356"/>
      <c r="S562" s="357"/>
      <c r="T562" s="357"/>
      <c r="U562" s="357"/>
      <c r="V562" s="357"/>
      <c r="W562" s="357"/>
      <c r="X562" s="357"/>
      <c r="Y562" s="357"/>
      <c r="Z562" s="357"/>
      <c r="AA562" s="374"/>
      <c r="AB562" s="377"/>
      <c r="AC562" s="377"/>
      <c r="AD562" s="377"/>
      <c r="AE562" s="288"/>
      <c r="AF562" s="288"/>
      <c r="AG562" s="288"/>
      <c r="AH562" s="288"/>
      <c r="AI562" s="288"/>
      <c r="AJ562" s="288"/>
      <c r="AK562" s="374"/>
      <c r="AL562" s="91"/>
      <c r="AM562" s="376"/>
      <c r="AN562" s="376"/>
      <c r="AO562" s="286"/>
      <c r="AP562" s="286"/>
      <c r="AQ562" s="286"/>
      <c r="AR562" s="286"/>
      <c r="AS562" s="286"/>
      <c r="AT562" s="286"/>
      <c r="AU562" s="261"/>
      <c r="AV562" s="371"/>
      <c r="AW562" s="91"/>
      <c r="AX562" s="91"/>
      <c r="AY562" s="286"/>
      <c r="AZ562" s="286"/>
      <c r="BA562" s="286"/>
      <c r="BB562" s="286"/>
      <c r="BC562" s="286"/>
      <c r="BD562" s="286"/>
      <c r="BE562" s="261"/>
      <c r="BF562" s="261"/>
      <c r="BG562" s="261"/>
      <c r="BH562" s="261"/>
      <c r="BI562" s="261"/>
      <c r="BJ562" s="261"/>
      <c r="BK562" s="261"/>
      <c r="BL562" s="91"/>
      <c r="BM562" s="278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  <c r="BZ562" s="91"/>
      <c r="CA562" s="91"/>
      <c r="CB562" s="91"/>
      <c r="CC562" s="91"/>
      <c r="CD562" s="91"/>
      <c r="CE562" s="91"/>
      <c r="CF562" s="91"/>
      <c r="CG562" s="91"/>
      <c r="CH562" s="91"/>
      <c r="CI562" s="91"/>
      <c r="CJ562" s="91"/>
      <c r="CK562" s="91"/>
      <c r="CL562" s="91"/>
      <c r="CM562" s="91"/>
      <c r="CN562" s="91"/>
      <c r="CO562" s="91"/>
      <c r="CP562" s="91"/>
      <c r="CQ562" s="91"/>
      <c r="CR562" s="91"/>
      <c r="CS562" s="91"/>
      <c r="CT562" s="91"/>
      <c r="CU562" s="91"/>
      <c r="CV562" s="91"/>
      <c r="CW562" s="91"/>
      <c r="CX562" s="91"/>
      <c r="CY562" s="91"/>
      <c r="CZ562" s="91"/>
      <c r="DA562" s="91"/>
      <c r="DB562" s="91"/>
      <c r="DC562" s="91"/>
      <c r="DD562" s="91"/>
      <c r="DE562" s="91"/>
      <c r="DF562" s="91"/>
      <c r="DG562" s="91"/>
      <c r="DH562" s="91"/>
      <c r="DI562" s="91"/>
      <c r="DJ562" s="91"/>
      <c r="DK562" s="91"/>
      <c r="DL562" s="91"/>
      <c r="DM562" s="91"/>
      <c r="DN562" s="91"/>
      <c r="DO562" s="91"/>
      <c r="DP562" s="91"/>
      <c r="DQ562" s="91"/>
      <c r="DR562" s="91"/>
      <c r="DS562" s="91"/>
      <c r="DT562" s="91"/>
      <c r="DU562" s="91"/>
      <c r="DV562" s="91"/>
      <c r="DW562" s="91"/>
      <c r="DX562" s="91"/>
      <c r="DY562" s="91"/>
    </row>
    <row r="563" spans="1:129" ht="15.75">
      <c r="A563" s="238"/>
      <c r="D563" s="192"/>
      <c r="E563" s="258"/>
      <c r="F563" s="193"/>
      <c r="G563" s="91"/>
      <c r="H563" s="91"/>
      <c r="I563" s="294"/>
      <c r="J563" s="193"/>
      <c r="K563" s="193"/>
      <c r="L563" s="193"/>
      <c r="M563" s="295"/>
      <c r="N563" s="91"/>
      <c r="O563" s="193"/>
      <c r="P563" s="356"/>
      <c r="Q563" s="91"/>
      <c r="R563" s="356"/>
      <c r="S563" s="357"/>
      <c r="T563" s="357"/>
      <c r="U563" s="357"/>
      <c r="V563" s="357"/>
      <c r="W563" s="357"/>
      <c r="X563" s="357"/>
      <c r="Y563" s="357"/>
      <c r="Z563" s="357"/>
      <c r="AA563" s="374"/>
      <c r="AB563" s="377"/>
      <c r="AC563" s="377"/>
      <c r="AD563" s="377"/>
      <c r="AE563" s="288"/>
      <c r="AF563" s="288"/>
      <c r="AG563" s="288"/>
      <c r="AH563" s="288"/>
      <c r="AI563" s="288"/>
      <c r="AJ563" s="288"/>
      <c r="AK563" s="374"/>
      <c r="AL563" s="91"/>
      <c r="AM563" s="376"/>
      <c r="AN563" s="376"/>
      <c r="AO563" s="286"/>
      <c r="AP563" s="286"/>
      <c r="AQ563" s="286"/>
      <c r="AR563" s="286"/>
      <c r="AS563" s="286"/>
      <c r="AT563" s="286"/>
      <c r="AU563" s="261"/>
      <c r="AV563" s="371"/>
      <c r="AW563" s="91"/>
      <c r="AX563" s="91"/>
      <c r="AY563" s="286"/>
      <c r="AZ563" s="286"/>
      <c r="BA563" s="286"/>
      <c r="BB563" s="286"/>
      <c r="BC563" s="286"/>
      <c r="BD563" s="286"/>
      <c r="BE563" s="261"/>
      <c r="BF563" s="261"/>
      <c r="BG563" s="261"/>
      <c r="BH563" s="261"/>
      <c r="BI563" s="261"/>
      <c r="BJ563" s="261"/>
      <c r="BK563" s="261"/>
      <c r="BL563" s="91"/>
      <c r="BM563" s="278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  <c r="BZ563" s="91"/>
      <c r="CA563" s="91"/>
      <c r="CB563" s="91"/>
      <c r="CC563" s="91"/>
      <c r="CD563" s="91"/>
      <c r="CE563" s="91"/>
      <c r="CF563" s="91"/>
      <c r="CG563" s="91"/>
      <c r="CH563" s="91"/>
      <c r="CI563" s="91"/>
      <c r="CJ563" s="91"/>
      <c r="CK563" s="91"/>
      <c r="CL563" s="91"/>
      <c r="CM563" s="91"/>
      <c r="CN563" s="91"/>
      <c r="CO563" s="91"/>
      <c r="CP563" s="91"/>
      <c r="CQ563" s="91"/>
      <c r="CR563" s="91"/>
      <c r="CS563" s="91"/>
      <c r="CT563" s="91"/>
      <c r="CU563" s="91"/>
      <c r="CV563" s="91"/>
      <c r="CW563" s="91"/>
      <c r="CX563" s="91"/>
      <c r="CY563" s="91"/>
      <c r="CZ563" s="91"/>
      <c r="DA563" s="91"/>
      <c r="DB563" s="91"/>
      <c r="DC563" s="91"/>
      <c r="DD563" s="91"/>
      <c r="DE563" s="91"/>
      <c r="DF563" s="91"/>
      <c r="DG563" s="91"/>
      <c r="DH563" s="91"/>
      <c r="DI563" s="91"/>
      <c r="DJ563" s="91"/>
      <c r="DK563" s="91"/>
      <c r="DL563" s="91"/>
      <c r="DM563" s="91"/>
      <c r="DN563" s="91"/>
      <c r="DO563" s="91"/>
      <c r="DP563" s="91"/>
      <c r="DQ563" s="91"/>
      <c r="DR563" s="91"/>
      <c r="DS563" s="91"/>
      <c r="DT563" s="91"/>
      <c r="DU563" s="91"/>
      <c r="DV563" s="91"/>
      <c r="DW563" s="91"/>
      <c r="DX563" s="91"/>
      <c r="DY563" s="91"/>
    </row>
    <row r="564" spans="1:129" ht="15.75">
      <c r="A564" s="238"/>
      <c r="D564" s="192"/>
      <c r="E564" s="258"/>
      <c r="F564" s="193"/>
      <c r="G564" s="91"/>
      <c r="H564" s="91"/>
      <c r="I564" s="294"/>
      <c r="J564" s="193"/>
      <c r="K564" s="193"/>
      <c r="L564" s="193"/>
      <c r="M564" s="295"/>
      <c r="N564" s="91"/>
      <c r="O564" s="193"/>
      <c r="P564" s="356"/>
      <c r="Q564" s="91"/>
      <c r="R564" s="356"/>
      <c r="S564" s="357"/>
      <c r="T564" s="357"/>
      <c r="U564" s="357"/>
      <c r="V564" s="357"/>
      <c r="W564" s="357"/>
      <c r="X564" s="357"/>
      <c r="Y564" s="357"/>
      <c r="Z564" s="357"/>
      <c r="AA564" s="374"/>
      <c r="AB564" s="377"/>
      <c r="AC564" s="377"/>
      <c r="AD564" s="377"/>
      <c r="AE564" s="288"/>
      <c r="AF564" s="288"/>
      <c r="AG564" s="288"/>
      <c r="AH564" s="288"/>
      <c r="AI564" s="288"/>
      <c r="AJ564" s="288"/>
      <c r="AK564" s="374"/>
      <c r="AL564" s="91"/>
      <c r="AM564" s="376"/>
      <c r="AN564" s="376"/>
      <c r="AO564" s="286"/>
      <c r="AP564" s="286"/>
      <c r="AQ564" s="286"/>
      <c r="AR564" s="286"/>
      <c r="AS564" s="286"/>
      <c r="AT564" s="286"/>
      <c r="AU564" s="261"/>
      <c r="AV564" s="371"/>
      <c r="AW564" s="91"/>
      <c r="AX564" s="91"/>
      <c r="AY564" s="286"/>
      <c r="AZ564" s="286"/>
      <c r="BA564" s="286"/>
      <c r="BB564" s="286"/>
      <c r="BC564" s="286"/>
      <c r="BD564" s="286"/>
      <c r="BE564" s="261"/>
      <c r="BF564" s="261"/>
      <c r="BG564" s="261"/>
      <c r="BH564" s="261"/>
      <c r="BI564" s="261"/>
      <c r="BJ564" s="261"/>
      <c r="BK564" s="261"/>
      <c r="BL564" s="91"/>
      <c r="BM564" s="278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  <c r="BZ564" s="91"/>
      <c r="CA564" s="91"/>
      <c r="CB564" s="91"/>
      <c r="CC564" s="91"/>
      <c r="CD564" s="91"/>
      <c r="CE564" s="91"/>
      <c r="CF564" s="91"/>
      <c r="CG564" s="91"/>
      <c r="CH564" s="91"/>
      <c r="CI564" s="91"/>
      <c r="CJ564" s="91"/>
      <c r="CK564" s="91"/>
      <c r="CL564" s="91"/>
      <c r="CM564" s="91"/>
      <c r="CN564" s="91"/>
      <c r="CO564" s="91"/>
      <c r="CP564" s="91"/>
      <c r="CQ564" s="91"/>
      <c r="CR564" s="91"/>
      <c r="CS564" s="91"/>
      <c r="CT564" s="91"/>
      <c r="CU564" s="91"/>
      <c r="CV564" s="91"/>
      <c r="CW564" s="91"/>
      <c r="CX564" s="91"/>
      <c r="CY564" s="91"/>
      <c r="CZ564" s="91"/>
      <c r="DA564" s="91"/>
      <c r="DB564" s="91"/>
      <c r="DC564" s="91"/>
      <c r="DD564" s="91"/>
      <c r="DE564" s="91"/>
      <c r="DF564" s="91"/>
      <c r="DG564" s="91"/>
      <c r="DH564" s="91"/>
      <c r="DI564" s="91"/>
      <c r="DJ564" s="91"/>
      <c r="DK564" s="91"/>
      <c r="DL564" s="91"/>
      <c r="DM564" s="91"/>
      <c r="DN564" s="91"/>
      <c r="DO564" s="91"/>
      <c r="DP564" s="91"/>
      <c r="DQ564" s="91"/>
      <c r="DR564" s="91"/>
      <c r="DS564" s="91"/>
      <c r="DT564" s="91"/>
      <c r="DU564" s="91"/>
      <c r="DV564" s="91"/>
      <c r="DW564" s="91"/>
      <c r="DX564" s="91"/>
      <c r="DY564" s="91"/>
    </row>
    <row r="565" spans="1:129" ht="15.75">
      <c r="A565" s="238"/>
      <c r="D565" s="192"/>
      <c r="E565" s="258"/>
      <c r="F565" s="193"/>
      <c r="G565" s="91"/>
      <c r="H565" s="91"/>
      <c r="I565" s="294"/>
      <c r="J565" s="193"/>
      <c r="K565" s="193"/>
      <c r="L565" s="193"/>
      <c r="M565" s="295"/>
      <c r="N565" s="91"/>
      <c r="O565" s="193"/>
      <c r="P565" s="356"/>
      <c r="Q565" s="91"/>
      <c r="R565" s="356"/>
      <c r="S565" s="357"/>
      <c r="T565" s="357"/>
      <c r="U565" s="357"/>
      <c r="V565" s="357"/>
      <c r="W565" s="357"/>
      <c r="X565" s="357"/>
      <c r="Y565" s="357"/>
      <c r="Z565" s="357"/>
      <c r="AA565" s="374"/>
      <c r="AB565" s="377"/>
      <c r="AC565" s="377"/>
      <c r="AD565" s="377"/>
      <c r="AE565" s="288"/>
      <c r="AF565" s="288"/>
      <c r="AG565" s="288"/>
      <c r="AH565" s="288"/>
      <c r="AI565" s="288"/>
      <c r="AJ565" s="288"/>
      <c r="AK565" s="374"/>
      <c r="AL565" s="91"/>
      <c r="AM565" s="376"/>
      <c r="AN565" s="376"/>
      <c r="AO565" s="286"/>
      <c r="AP565" s="286"/>
      <c r="AQ565" s="286"/>
      <c r="AR565" s="286"/>
      <c r="AS565" s="286"/>
      <c r="AT565" s="286"/>
      <c r="AU565" s="261"/>
      <c r="AV565" s="371"/>
      <c r="AW565" s="91"/>
      <c r="AX565" s="91"/>
      <c r="AY565" s="286"/>
      <c r="AZ565" s="286"/>
      <c r="BA565" s="286"/>
      <c r="BB565" s="286"/>
      <c r="BC565" s="286"/>
      <c r="BD565" s="286"/>
      <c r="BE565" s="261"/>
      <c r="BF565" s="261"/>
      <c r="BG565" s="261"/>
      <c r="BH565" s="261"/>
      <c r="BI565" s="261"/>
      <c r="BJ565" s="261"/>
      <c r="BK565" s="261"/>
      <c r="BL565" s="91"/>
      <c r="BM565" s="278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  <c r="BZ565" s="91"/>
      <c r="CA565" s="91"/>
      <c r="CB565" s="91"/>
      <c r="CC565" s="91"/>
      <c r="CD565" s="91"/>
      <c r="CE565" s="91"/>
      <c r="CF565" s="91"/>
      <c r="CG565" s="91"/>
      <c r="CH565" s="91"/>
      <c r="CI565" s="91"/>
      <c r="CJ565" s="91"/>
      <c r="CK565" s="91"/>
      <c r="CL565" s="91"/>
      <c r="CM565" s="91"/>
      <c r="CN565" s="91"/>
      <c r="CO565" s="91"/>
      <c r="CP565" s="91"/>
      <c r="CQ565" s="91"/>
      <c r="CR565" s="91"/>
      <c r="CS565" s="91"/>
      <c r="CT565" s="91"/>
      <c r="CU565" s="91"/>
      <c r="CV565" s="91"/>
      <c r="CW565" s="91"/>
      <c r="CX565" s="91"/>
      <c r="CY565" s="91"/>
      <c r="CZ565" s="91"/>
      <c r="DA565" s="91"/>
      <c r="DB565" s="91"/>
      <c r="DC565" s="91"/>
      <c r="DD565" s="91"/>
      <c r="DE565" s="91"/>
      <c r="DF565" s="91"/>
      <c r="DG565" s="91"/>
      <c r="DH565" s="91"/>
      <c r="DI565" s="91"/>
      <c r="DJ565" s="91"/>
      <c r="DK565" s="91"/>
      <c r="DL565" s="91"/>
      <c r="DM565" s="91"/>
      <c r="DN565" s="91"/>
      <c r="DO565" s="91"/>
      <c r="DP565" s="91"/>
      <c r="DQ565" s="91"/>
      <c r="DR565" s="91"/>
      <c r="DS565" s="91"/>
      <c r="DT565" s="91"/>
      <c r="DU565" s="91"/>
      <c r="DV565" s="91"/>
      <c r="DW565" s="91"/>
      <c r="DX565" s="91"/>
      <c r="DY565" s="91"/>
    </row>
    <row r="566" spans="1:129" ht="15.75">
      <c r="A566" s="238"/>
      <c r="D566" s="192"/>
      <c r="E566" s="258"/>
      <c r="F566" s="193"/>
      <c r="G566" s="91"/>
      <c r="H566" s="91"/>
      <c r="I566" s="294"/>
      <c r="J566" s="193"/>
      <c r="K566" s="193"/>
      <c r="L566" s="193"/>
      <c r="M566" s="295"/>
      <c r="N566" s="91"/>
      <c r="O566" s="193"/>
      <c r="P566" s="356"/>
      <c r="Q566" s="91"/>
      <c r="R566" s="356"/>
      <c r="S566" s="357"/>
      <c r="T566" s="357"/>
      <c r="U566" s="357"/>
      <c r="V566" s="357"/>
      <c r="W566" s="357"/>
      <c r="X566" s="357"/>
      <c r="Y566" s="357"/>
      <c r="Z566" s="357"/>
      <c r="AA566" s="374"/>
      <c r="AB566" s="377"/>
      <c r="AC566" s="377"/>
      <c r="AD566" s="377"/>
      <c r="AE566" s="288"/>
      <c r="AF566" s="288"/>
      <c r="AG566" s="288"/>
      <c r="AH566" s="288"/>
      <c r="AI566" s="288"/>
      <c r="AJ566" s="288"/>
      <c r="AK566" s="374"/>
      <c r="AL566" s="91"/>
      <c r="AM566" s="376"/>
      <c r="AN566" s="376"/>
      <c r="AO566" s="286"/>
      <c r="AP566" s="286"/>
      <c r="AQ566" s="286"/>
      <c r="AR566" s="286"/>
      <c r="AS566" s="286"/>
      <c r="AT566" s="286"/>
      <c r="AU566" s="261"/>
      <c r="AV566" s="371"/>
      <c r="AW566" s="91"/>
      <c r="AX566" s="91"/>
      <c r="AY566" s="286"/>
      <c r="AZ566" s="286"/>
      <c r="BA566" s="286"/>
      <c r="BB566" s="286"/>
      <c r="BC566" s="286"/>
      <c r="BD566" s="286"/>
      <c r="BE566" s="261"/>
      <c r="BF566" s="261"/>
      <c r="BG566" s="261"/>
      <c r="BH566" s="261"/>
      <c r="BI566" s="261"/>
      <c r="BJ566" s="261"/>
      <c r="BK566" s="261"/>
      <c r="BL566" s="91"/>
      <c r="BM566" s="278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  <c r="BZ566" s="91"/>
      <c r="CA566" s="91"/>
      <c r="CB566" s="91"/>
      <c r="CC566" s="91"/>
      <c r="CD566" s="91"/>
      <c r="CE566" s="91"/>
      <c r="CF566" s="91"/>
      <c r="CG566" s="91"/>
      <c r="CH566" s="91"/>
      <c r="CI566" s="91"/>
      <c r="CJ566" s="91"/>
      <c r="CK566" s="91"/>
      <c r="CL566" s="91"/>
      <c r="CM566" s="91"/>
      <c r="CN566" s="91"/>
      <c r="CO566" s="91"/>
      <c r="CP566" s="91"/>
      <c r="CQ566" s="91"/>
      <c r="CR566" s="91"/>
      <c r="CS566" s="91"/>
      <c r="CT566" s="91"/>
      <c r="CU566" s="91"/>
      <c r="CV566" s="91"/>
      <c r="CW566" s="91"/>
      <c r="CX566" s="91"/>
      <c r="CY566" s="91"/>
      <c r="CZ566" s="91"/>
      <c r="DA566" s="91"/>
      <c r="DB566" s="91"/>
      <c r="DC566" s="91"/>
      <c r="DD566" s="91"/>
      <c r="DE566" s="91"/>
      <c r="DF566" s="91"/>
      <c r="DG566" s="91"/>
      <c r="DH566" s="91"/>
      <c r="DI566" s="91"/>
      <c r="DJ566" s="91"/>
      <c r="DK566" s="91"/>
      <c r="DL566" s="91"/>
      <c r="DM566" s="91"/>
      <c r="DN566" s="91"/>
      <c r="DO566" s="91"/>
      <c r="DP566" s="91"/>
      <c r="DQ566" s="91"/>
      <c r="DR566" s="91"/>
      <c r="DS566" s="91"/>
      <c r="DT566" s="91"/>
      <c r="DU566" s="91"/>
      <c r="DV566" s="91"/>
      <c r="DW566" s="91"/>
      <c r="DX566" s="91"/>
      <c r="DY566" s="91"/>
    </row>
    <row r="567" spans="1:129" ht="15.75">
      <c r="A567" s="238"/>
      <c r="D567" s="192"/>
      <c r="E567" s="258"/>
      <c r="F567" s="193"/>
      <c r="G567" s="91"/>
      <c r="H567" s="91"/>
      <c r="I567" s="294"/>
      <c r="J567" s="193"/>
      <c r="K567" s="193"/>
      <c r="L567" s="193"/>
      <c r="M567" s="295"/>
      <c r="N567" s="91"/>
      <c r="O567" s="193"/>
      <c r="P567" s="356"/>
      <c r="Q567" s="91"/>
      <c r="R567" s="356"/>
      <c r="S567" s="357"/>
      <c r="T567" s="357"/>
      <c r="U567" s="357"/>
      <c r="V567" s="357"/>
      <c r="W567" s="357"/>
      <c r="X567" s="357"/>
      <c r="Y567" s="357"/>
      <c r="Z567" s="357"/>
      <c r="AA567" s="374"/>
      <c r="AB567" s="377"/>
      <c r="AC567" s="377"/>
      <c r="AD567" s="377"/>
      <c r="AE567" s="288"/>
      <c r="AF567" s="288"/>
      <c r="AG567" s="288"/>
      <c r="AH567" s="288"/>
      <c r="AI567" s="288"/>
      <c r="AJ567" s="288"/>
      <c r="AK567" s="374"/>
      <c r="AL567" s="91"/>
      <c r="AM567" s="376"/>
      <c r="AN567" s="376"/>
      <c r="AO567" s="286"/>
      <c r="AP567" s="286"/>
      <c r="AQ567" s="286"/>
      <c r="AR567" s="286"/>
      <c r="AS567" s="286"/>
      <c r="AT567" s="286"/>
      <c r="AU567" s="261"/>
      <c r="AV567" s="371"/>
      <c r="AW567" s="91"/>
      <c r="AX567" s="91"/>
      <c r="AY567" s="286"/>
      <c r="AZ567" s="286"/>
      <c r="BA567" s="286"/>
      <c r="BB567" s="286"/>
      <c r="BC567" s="286"/>
      <c r="BD567" s="286"/>
      <c r="BE567" s="261"/>
      <c r="BF567" s="261"/>
      <c r="BG567" s="261"/>
      <c r="BH567" s="261"/>
      <c r="BI567" s="261"/>
      <c r="BJ567" s="261"/>
      <c r="BK567" s="261"/>
      <c r="BL567" s="91"/>
      <c r="BM567" s="278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  <c r="BZ567" s="91"/>
      <c r="CA567" s="91"/>
      <c r="CB567" s="91"/>
      <c r="CC567" s="91"/>
      <c r="CD567" s="91"/>
      <c r="CE567" s="91"/>
      <c r="CF567" s="91"/>
      <c r="CG567" s="91"/>
      <c r="CH567" s="91"/>
      <c r="CI567" s="91"/>
      <c r="CJ567" s="91"/>
      <c r="CK567" s="91"/>
      <c r="CL567" s="91"/>
      <c r="CM567" s="91"/>
      <c r="CN567" s="91"/>
      <c r="CO567" s="91"/>
      <c r="CP567" s="91"/>
      <c r="CQ567" s="91"/>
      <c r="CR567" s="91"/>
      <c r="CS567" s="91"/>
      <c r="CT567" s="91"/>
      <c r="CU567" s="91"/>
      <c r="CV567" s="91"/>
      <c r="CW567" s="91"/>
      <c r="CX567" s="91"/>
      <c r="CY567" s="91"/>
      <c r="CZ567" s="91"/>
      <c r="DA567" s="91"/>
      <c r="DB567" s="91"/>
      <c r="DC567" s="91"/>
      <c r="DD567" s="91"/>
      <c r="DE567" s="91"/>
      <c r="DF567" s="91"/>
      <c r="DG567" s="91"/>
      <c r="DH567" s="91"/>
      <c r="DI567" s="91"/>
      <c r="DJ567" s="91"/>
      <c r="DK567" s="91"/>
      <c r="DL567" s="91"/>
      <c r="DM567" s="91"/>
      <c r="DN567" s="91"/>
      <c r="DO567" s="91"/>
      <c r="DP567" s="91"/>
      <c r="DQ567" s="91"/>
      <c r="DR567" s="91"/>
      <c r="DS567" s="91"/>
      <c r="DT567" s="91"/>
      <c r="DU567" s="91"/>
      <c r="DV567" s="91"/>
      <c r="DW567" s="91"/>
      <c r="DX567" s="91"/>
      <c r="DY567" s="91"/>
    </row>
    <row r="568" spans="1:129" ht="15.75">
      <c r="A568" s="238"/>
      <c r="D568" s="192"/>
      <c r="E568" s="258"/>
      <c r="F568" s="193"/>
      <c r="G568" s="91"/>
      <c r="H568" s="91"/>
      <c r="I568" s="294"/>
      <c r="J568" s="193"/>
      <c r="K568" s="193"/>
      <c r="L568" s="193"/>
      <c r="M568" s="295"/>
      <c r="N568" s="91"/>
      <c r="O568" s="193"/>
      <c r="P568" s="356"/>
      <c r="Q568" s="91"/>
      <c r="R568" s="356"/>
      <c r="S568" s="357"/>
      <c r="T568" s="357"/>
      <c r="U568" s="357"/>
      <c r="V568" s="357"/>
      <c r="W568" s="357"/>
      <c r="X568" s="357"/>
      <c r="Y568" s="357"/>
      <c r="Z568" s="357"/>
      <c r="AA568" s="374"/>
      <c r="AB568" s="377"/>
      <c r="AC568" s="377"/>
      <c r="AD568" s="377"/>
      <c r="AE568" s="288"/>
      <c r="AF568" s="288"/>
      <c r="AG568" s="288"/>
      <c r="AH568" s="288"/>
      <c r="AI568" s="288"/>
      <c r="AJ568" s="288"/>
      <c r="AK568" s="374"/>
      <c r="AL568" s="91"/>
      <c r="AM568" s="376"/>
      <c r="AN568" s="376"/>
      <c r="AO568" s="286"/>
      <c r="AP568" s="286"/>
      <c r="AQ568" s="286"/>
      <c r="AR568" s="286"/>
      <c r="AS568" s="286"/>
      <c r="AT568" s="286"/>
      <c r="AU568" s="261"/>
      <c r="AV568" s="371"/>
      <c r="AW568" s="91"/>
      <c r="AX568" s="91"/>
      <c r="AY568" s="286"/>
      <c r="AZ568" s="286"/>
      <c r="BA568" s="286"/>
      <c r="BB568" s="286"/>
      <c r="BC568" s="286"/>
      <c r="BD568" s="286"/>
      <c r="BE568" s="261"/>
      <c r="BF568" s="261"/>
      <c r="BG568" s="261"/>
      <c r="BH568" s="261"/>
      <c r="BI568" s="261"/>
      <c r="BJ568" s="261"/>
      <c r="BK568" s="261"/>
      <c r="BL568" s="91"/>
      <c r="BM568" s="278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  <c r="BZ568" s="91"/>
      <c r="CA568" s="91"/>
      <c r="CB568" s="91"/>
      <c r="CC568" s="91"/>
      <c r="CD568" s="91"/>
      <c r="CE568" s="91"/>
      <c r="CF568" s="91"/>
      <c r="CG568" s="91"/>
      <c r="CH568" s="91"/>
      <c r="CI568" s="91"/>
      <c r="CJ568" s="91"/>
      <c r="CK568" s="91"/>
      <c r="CL568" s="91"/>
      <c r="CM568" s="91"/>
      <c r="CN568" s="91"/>
      <c r="CO568" s="91"/>
      <c r="CP568" s="91"/>
      <c r="CQ568" s="91"/>
      <c r="CR568" s="91"/>
      <c r="CS568" s="91"/>
      <c r="CT568" s="91"/>
      <c r="CU568" s="91"/>
      <c r="CV568" s="91"/>
      <c r="CW568" s="91"/>
      <c r="CX568" s="91"/>
      <c r="CY568" s="91"/>
      <c r="CZ568" s="91"/>
      <c r="DA568" s="91"/>
      <c r="DB568" s="91"/>
      <c r="DC568" s="91"/>
      <c r="DD568" s="91"/>
      <c r="DE568" s="91"/>
      <c r="DF568" s="91"/>
      <c r="DG568" s="91"/>
      <c r="DH568" s="91"/>
      <c r="DI568" s="91"/>
      <c r="DJ568" s="91"/>
      <c r="DK568" s="91"/>
      <c r="DL568" s="91"/>
      <c r="DM568" s="91"/>
      <c r="DN568" s="91"/>
      <c r="DO568" s="91"/>
      <c r="DP568" s="91"/>
      <c r="DQ568" s="91"/>
      <c r="DR568" s="91"/>
      <c r="DS568" s="91"/>
      <c r="DT568" s="91"/>
      <c r="DU568" s="91"/>
      <c r="DV568" s="91"/>
      <c r="DW568" s="91"/>
      <c r="DX568" s="91"/>
      <c r="DY568" s="91"/>
    </row>
    <row r="569" spans="1:129" ht="15.75">
      <c r="A569" s="238"/>
      <c r="D569" s="192"/>
      <c r="E569" s="258"/>
      <c r="F569" s="193"/>
      <c r="G569" s="91"/>
      <c r="H569" s="91"/>
      <c r="I569" s="294"/>
      <c r="J569" s="193"/>
      <c r="K569" s="193"/>
      <c r="L569" s="193"/>
      <c r="M569" s="295"/>
      <c r="N569" s="91"/>
      <c r="O569" s="193"/>
      <c r="P569" s="356"/>
      <c r="Q569" s="91"/>
      <c r="R569" s="356"/>
      <c r="S569" s="357"/>
      <c r="T569" s="357"/>
      <c r="U569" s="357"/>
      <c r="V569" s="357"/>
      <c r="W569" s="357"/>
      <c r="X569" s="357"/>
      <c r="Y569" s="357"/>
      <c r="Z569" s="357"/>
      <c r="AA569" s="374"/>
      <c r="AB569" s="377"/>
      <c r="AC569" s="377"/>
      <c r="AD569" s="377"/>
      <c r="AE569" s="288"/>
      <c r="AF569" s="288"/>
      <c r="AG569" s="288"/>
      <c r="AH569" s="288"/>
      <c r="AI569" s="288"/>
      <c r="AJ569" s="288"/>
      <c r="AK569" s="374"/>
      <c r="AL569" s="91"/>
      <c r="AM569" s="376"/>
      <c r="AN569" s="376"/>
      <c r="AO569" s="286"/>
      <c r="AP569" s="286"/>
      <c r="AQ569" s="286"/>
      <c r="AR569" s="286"/>
      <c r="AS569" s="286"/>
      <c r="AT569" s="286"/>
      <c r="AU569" s="261"/>
      <c r="AV569" s="371"/>
      <c r="AW569" s="91"/>
      <c r="AX569" s="91"/>
      <c r="AY569" s="286"/>
      <c r="AZ569" s="286"/>
      <c r="BA569" s="286"/>
      <c r="BB569" s="286"/>
      <c r="BC569" s="286"/>
      <c r="BD569" s="286"/>
      <c r="BE569" s="261"/>
      <c r="BF569" s="261"/>
      <c r="BG569" s="261"/>
      <c r="BH569" s="261"/>
      <c r="BI569" s="261"/>
      <c r="BJ569" s="261"/>
      <c r="BK569" s="261"/>
      <c r="BL569" s="91"/>
      <c r="BM569" s="278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  <c r="BZ569" s="91"/>
      <c r="CA569" s="91"/>
      <c r="CB569" s="91"/>
      <c r="CC569" s="91"/>
      <c r="CD569" s="91"/>
      <c r="CE569" s="91"/>
      <c r="CF569" s="91"/>
      <c r="CG569" s="91"/>
      <c r="CH569" s="91"/>
      <c r="CI569" s="91"/>
      <c r="CJ569" s="91"/>
      <c r="CK569" s="91"/>
      <c r="CL569" s="91"/>
      <c r="CM569" s="91"/>
      <c r="CN569" s="91"/>
      <c r="CO569" s="91"/>
      <c r="CP569" s="91"/>
      <c r="CQ569" s="91"/>
      <c r="CR569" s="91"/>
      <c r="CS569" s="91"/>
      <c r="CT569" s="91"/>
      <c r="CU569" s="91"/>
      <c r="CV569" s="91"/>
      <c r="CW569" s="91"/>
      <c r="CX569" s="91"/>
      <c r="CY569" s="91"/>
      <c r="CZ569" s="91"/>
      <c r="DA569" s="91"/>
      <c r="DB569" s="91"/>
      <c r="DC569" s="91"/>
      <c r="DD569" s="91"/>
      <c r="DE569" s="91"/>
      <c r="DF569" s="91"/>
      <c r="DG569" s="91"/>
      <c r="DH569" s="91"/>
      <c r="DI569" s="91"/>
      <c r="DJ569" s="91"/>
      <c r="DK569" s="91"/>
      <c r="DL569" s="91"/>
      <c r="DM569" s="91"/>
      <c r="DN569" s="91"/>
      <c r="DO569" s="91"/>
      <c r="DP569" s="91"/>
      <c r="DQ569" s="91"/>
      <c r="DR569" s="91"/>
      <c r="DS569" s="91"/>
      <c r="DT569" s="91"/>
      <c r="DU569" s="91"/>
      <c r="DV569" s="91"/>
      <c r="DW569" s="91"/>
      <c r="DX569" s="91"/>
      <c r="DY569" s="91"/>
    </row>
    <row r="570" spans="1:129" ht="15.75">
      <c r="A570" s="238"/>
      <c r="D570" s="192"/>
      <c r="E570" s="258"/>
      <c r="F570" s="193"/>
      <c r="G570" s="91"/>
      <c r="H570" s="91"/>
      <c r="I570" s="294"/>
      <c r="J570" s="193"/>
      <c r="K570" s="193"/>
      <c r="L570" s="193"/>
      <c r="M570" s="295"/>
      <c r="N570" s="91"/>
      <c r="O570" s="193"/>
      <c r="P570" s="356"/>
      <c r="Q570" s="91"/>
      <c r="R570" s="356"/>
      <c r="S570" s="357"/>
      <c r="T570" s="357"/>
      <c r="U570" s="357"/>
      <c r="V570" s="357"/>
      <c r="W570" s="357"/>
      <c r="X570" s="357"/>
      <c r="Y570" s="357"/>
      <c r="Z570" s="357"/>
      <c r="AA570" s="374"/>
      <c r="AB570" s="377"/>
      <c r="AC570" s="377"/>
      <c r="AD570" s="377"/>
      <c r="AE570" s="288"/>
      <c r="AF570" s="288"/>
      <c r="AG570" s="288"/>
      <c r="AH570" s="288"/>
      <c r="AI570" s="288"/>
      <c r="AJ570" s="288"/>
      <c r="AK570" s="374"/>
      <c r="AL570" s="91"/>
      <c r="AM570" s="376"/>
      <c r="AN570" s="376"/>
      <c r="AO570" s="286"/>
      <c r="AP570" s="286"/>
      <c r="AQ570" s="286"/>
      <c r="AR570" s="286"/>
      <c r="AS570" s="286"/>
      <c r="AT570" s="286"/>
      <c r="AU570" s="261"/>
      <c r="AV570" s="371"/>
      <c r="AW570" s="91"/>
      <c r="AX570" s="91"/>
      <c r="AY570" s="286"/>
      <c r="AZ570" s="286"/>
      <c r="BA570" s="286"/>
      <c r="BB570" s="286"/>
      <c r="BC570" s="286"/>
      <c r="BD570" s="286"/>
      <c r="BE570" s="261"/>
      <c r="BF570" s="261"/>
      <c r="BG570" s="261"/>
      <c r="BH570" s="261"/>
      <c r="BI570" s="261"/>
      <c r="BJ570" s="261"/>
      <c r="BK570" s="261"/>
      <c r="BL570" s="91"/>
      <c r="BM570" s="278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  <c r="BZ570" s="91"/>
      <c r="CA570" s="91"/>
      <c r="CB570" s="91"/>
      <c r="CC570" s="91"/>
      <c r="CD570" s="91"/>
      <c r="CE570" s="91"/>
      <c r="CF570" s="91"/>
      <c r="CG570" s="91"/>
      <c r="CH570" s="91"/>
      <c r="CI570" s="91"/>
      <c r="CJ570" s="91"/>
      <c r="CK570" s="91"/>
      <c r="CL570" s="91"/>
      <c r="CM570" s="91"/>
      <c r="CN570" s="91"/>
      <c r="CO570" s="91"/>
      <c r="CP570" s="91"/>
      <c r="CQ570" s="91"/>
      <c r="CR570" s="91"/>
      <c r="CS570" s="91"/>
      <c r="CT570" s="91"/>
      <c r="CU570" s="91"/>
      <c r="CV570" s="91"/>
      <c r="CW570" s="91"/>
      <c r="CX570" s="91"/>
      <c r="CY570" s="91"/>
      <c r="CZ570" s="91"/>
      <c r="DA570" s="91"/>
      <c r="DB570" s="91"/>
      <c r="DC570" s="91"/>
      <c r="DD570" s="91"/>
      <c r="DE570" s="91"/>
      <c r="DF570" s="91"/>
      <c r="DG570" s="91"/>
      <c r="DH570" s="91"/>
      <c r="DI570" s="91"/>
      <c r="DJ570" s="91"/>
      <c r="DK570" s="91"/>
      <c r="DL570" s="91"/>
      <c r="DM570" s="91"/>
      <c r="DN570" s="91"/>
      <c r="DO570" s="91"/>
      <c r="DP570" s="91"/>
      <c r="DQ570" s="91"/>
      <c r="DR570" s="91"/>
      <c r="DS570" s="91"/>
      <c r="DT570" s="91"/>
      <c r="DU570" s="91"/>
      <c r="DV570" s="91"/>
      <c r="DW570" s="91"/>
      <c r="DX570" s="91"/>
      <c r="DY570" s="91"/>
    </row>
    <row r="571" spans="1:129" ht="15.75">
      <c r="A571" s="238"/>
      <c r="D571" s="192"/>
      <c r="E571" s="258"/>
      <c r="F571" s="193"/>
      <c r="G571" s="91"/>
      <c r="H571" s="91"/>
      <c r="I571" s="294"/>
      <c r="J571" s="193"/>
      <c r="K571" s="193"/>
      <c r="L571" s="193"/>
      <c r="M571" s="295"/>
      <c r="N571" s="91"/>
      <c r="O571" s="193"/>
      <c r="P571" s="356"/>
      <c r="Q571" s="91"/>
      <c r="R571" s="356"/>
      <c r="S571" s="357"/>
      <c r="T571" s="357"/>
      <c r="U571" s="357"/>
      <c r="V571" s="357"/>
      <c r="W571" s="357"/>
      <c r="X571" s="357"/>
      <c r="Y571" s="357"/>
      <c r="Z571" s="357"/>
      <c r="AA571" s="374"/>
      <c r="AB571" s="377"/>
      <c r="AC571" s="377"/>
      <c r="AD571" s="377"/>
      <c r="AE571" s="288"/>
      <c r="AF571" s="288"/>
      <c r="AG571" s="288"/>
      <c r="AH571" s="288"/>
      <c r="AI571" s="288"/>
      <c r="AJ571" s="288"/>
      <c r="AK571" s="374"/>
      <c r="AL571" s="91"/>
      <c r="AM571" s="376"/>
      <c r="AN571" s="376"/>
      <c r="AO571" s="286"/>
      <c r="AP571" s="286"/>
      <c r="AQ571" s="286"/>
      <c r="AR571" s="286"/>
      <c r="AS571" s="286"/>
      <c r="AT571" s="286"/>
      <c r="AU571" s="261"/>
      <c r="AV571" s="371"/>
      <c r="AW571" s="91"/>
      <c r="AX571" s="91"/>
      <c r="AY571" s="286"/>
      <c r="AZ571" s="286"/>
      <c r="BA571" s="286"/>
      <c r="BB571" s="286"/>
      <c r="BC571" s="286"/>
      <c r="BD571" s="286"/>
      <c r="BE571" s="261"/>
      <c r="BF571" s="261"/>
      <c r="BG571" s="261"/>
      <c r="BH571" s="261"/>
      <c r="BI571" s="261"/>
      <c r="BJ571" s="261"/>
      <c r="BK571" s="261"/>
      <c r="BL571" s="91"/>
      <c r="BM571" s="278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  <c r="BZ571" s="91"/>
      <c r="CA571" s="91"/>
      <c r="CB571" s="91"/>
      <c r="CC571" s="91"/>
      <c r="CD571" s="91"/>
      <c r="CE571" s="91"/>
      <c r="CF571" s="91"/>
      <c r="CG571" s="91"/>
      <c r="CH571" s="91"/>
      <c r="CI571" s="91"/>
      <c r="CJ571" s="91"/>
      <c r="CK571" s="91"/>
      <c r="CL571" s="91"/>
      <c r="CM571" s="91"/>
      <c r="CN571" s="91"/>
      <c r="CO571" s="91"/>
      <c r="CP571" s="91"/>
      <c r="CQ571" s="91"/>
      <c r="CR571" s="91"/>
      <c r="CS571" s="91"/>
      <c r="CT571" s="91"/>
      <c r="CU571" s="91"/>
      <c r="CV571" s="91"/>
      <c r="CW571" s="91"/>
      <c r="CX571" s="91"/>
      <c r="CY571" s="91"/>
      <c r="CZ571" s="91"/>
      <c r="DA571" s="91"/>
      <c r="DB571" s="91"/>
      <c r="DC571" s="91"/>
      <c r="DD571" s="91"/>
      <c r="DE571" s="91"/>
      <c r="DF571" s="91"/>
      <c r="DG571" s="91"/>
      <c r="DH571" s="91"/>
      <c r="DI571" s="91"/>
      <c r="DJ571" s="91"/>
      <c r="DK571" s="91"/>
      <c r="DL571" s="91"/>
      <c r="DM571" s="91"/>
      <c r="DN571" s="91"/>
      <c r="DO571" s="91"/>
      <c r="DP571" s="91"/>
      <c r="DQ571" s="91"/>
      <c r="DR571" s="91"/>
      <c r="DS571" s="91"/>
      <c r="DT571" s="91"/>
      <c r="DU571" s="91"/>
      <c r="DV571" s="91"/>
      <c r="DW571" s="91"/>
      <c r="DX571" s="91"/>
      <c r="DY571" s="91"/>
    </row>
    <row r="572" spans="1:129" ht="15.75">
      <c r="A572" s="238"/>
      <c r="D572" s="192"/>
      <c r="E572" s="258"/>
      <c r="F572" s="193"/>
      <c r="G572" s="91"/>
      <c r="H572" s="91"/>
      <c r="I572" s="294"/>
      <c r="J572" s="193"/>
      <c r="K572" s="193"/>
      <c r="L572" s="193"/>
      <c r="M572" s="295"/>
      <c r="N572" s="91"/>
      <c r="O572" s="193"/>
      <c r="P572" s="356"/>
      <c r="Q572" s="91"/>
      <c r="R572" s="356"/>
      <c r="S572" s="357"/>
      <c r="T572" s="357"/>
      <c r="U572" s="357"/>
      <c r="V572" s="357"/>
      <c r="W572" s="357"/>
      <c r="X572" s="357"/>
      <c r="Y572" s="357"/>
      <c r="Z572" s="357"/>
      <c r="AA572" s="374"/>
      <c r="AB572" s="377"/>
      <c r="AC572" s="377"/>
      <c r="AD572" s="377"/>
      <c r="AE572" s="288"/>
      <c r="AF572" s="288"/>
      <c r="AG572" s="288"/>
      <c r="AH572" s="288"/>
      <c r="AI572" s="288"/>
      <c r="AJ572" s="288"/>
      <c r="AK572" s="374"/>
      <c r="AL572" s="91"/>
      <c r="AM572" s="376"/>
      <c r="AN572" s="376"/>
      <c r="AO572" s="286"/>
      <c r="AP572" s="286"/>
      <c r="AQ572" s="286"/>
      <c r="AR572" s="286"/>
      <c r="AS572" s="286"/>
      <c r="AT572" s="286"/>
      <c r="AU572" s="261"/>
      <c r="AV572" s="371"/>
      <c r="AW572" s="91"/>
      <c r="AX572" s="91"/>
      <c r="AY572" s="286"/>
      <c r="AZ572" s="286"/>
      <c r="BA572" s="286"/>
      <c r="BB572" s="286"/>
      <c r="BC572" s="286"/>
      <c r="BD572" s="286"/>
      <c r="BE572" s="261"/>
      <c r="BF572" s="261"/>
      <c r="BG572" s="261"/>
      <c r="BH572" s="261"/>
      <c r="BI572" s="261"/>
      <c r="BJ572" s="261"/>
      <c r="BK572" s="261"/>
      <c r="BL572" s="91"/>
      <c r="BM572" s="278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  <c r="BZ572" s="91"/>
      <c r="CA572" s="91"/>
      <c r="CB572" s="91"/>
      <c r="CC572" s="91"/>
      <c r="CD572" s="91"/>
      <c r="CE572" s="91"/>
      <c r="CF572" s="91"/>
      <c r="CG572" s="91"/>
      <c r="CH572" s="91"/>
      <c r="CI572" s="91"/>
      <c r="CJ572" s="91"/>
      <c r="CK572" s="91"/>
      <c r="CL572" s="91"/>
      <c r="CM572" s="91"/>
      <c r="CN572" s="91"/>
      <c r="CO572" s="91"/>
      <c r="CP572" s="91"/>
      <c r="CQ572" s="91"/>
      <c r="CR572" s="91"/>
      <c r="CS572" s="91"/>
      <c r="CT572" s="91"/>
      <c r="CU572" s="91"/>
      <c r="CV572" s="91"/>
      <c r="CW572" s="91"/>
      <c r="CX572" s="91"/>
      <c r="CY572" s="91"/>
      <c r="CZ572" s="91"/>
      <c r="DA572" s="91"/>
      <c r="DB572" s="91"/>
      <c r="DC572" s="91"/>
      <c r="DD572" s="91"/>
      <c r="DE572" s="91"/>
      <c r="DF572" s="91"/>
      <c r="DG572" s="91"/>
      <c r="DH572" s="91"/>
      <c r="DI572" s="91"/>
      <c r="DJ572" s="91"/>
      <c r="DK572" s="91"/>
      <c r="DL572" s="91"/>
      <c r="DM572" s="91"/>
      <c r="DN572" s="91"/>
      <c r="DO572" s="91"/>
      <c r="DP572" s="91"/>
      <c r="DQ572" s="91"/>
      <c r="DR572" s="91"/>
      <c r="DS572" s="91"/>
      <c r="DT572" s="91"/>
      <c r="DU572" s="91"/>
      <c r="DV572" s="91"/>
      <c r="DW572" s="91"/>
      <c r="DX572" s="91"/>
      <c r="DY572" s="91"/>
    </row>
    <row r="573" spans="1:129" ht="15.75">
      <c r="A573" s="238"/>
      <c r="D573" s="192"/>
      <c r="E573" s="258"/>
      <c r="F573" s="193"/>
      <c r="G573" s="91"/>
      <c r="H573" s="91"/>
      <c r="I573" s="294"/>
      <c r="J573" s="193"/>
      <c r="K573" s="193"/>
      <c r="L573" s="193"/>
      <c r="M573" s="295"/>
      <c r="N573" s="91"/>
      <c r="O573" s="193"/>
      <c r="P573" s="356"/>
      <c r="Q573" s="91"/>
      <c r="R573" s="356"/>
      <c r="S573" s="357"/>
      <c r="T573" s="357"/>
      <c r="U573" s="357"/>
      <c r="V573" s="357"/>
      <c r="W573" s="357"/>
      <c r="X573" s="357"/>
      <c r="Y573" s="357"/>
      <c r="Z573" s="357"/>
      <c r="AA573" s="374"/>
      <c r="AB573" s="377"/>
      <c r="AC573" s="377"/>
      <c r="AD573" s="377"/>
      <c r="AE573" s="288"/>
      <c r="AF573" s="288"/>
      <c r="AG573" s="288"/>
      <c r="AH573" s="288"/>
      <c r="AI573" s="288"/>
      <c r="AJ573" s="288"/>
      <c r="AK573" s="374"/>
      <c r="AL573" s="91"/>
      <c r="AM573" s="376"/>
      <c r="AN573" s="376"/>
      <c r="AO573" s="286"/>
      <c r="AP573" s="286"/>
      <c r="AQ573" s="286"/>
      <c r="AR573" s="286"/>
      <c r="AS573" s="286"/>
      <c r="AT573" s="286"/>
      <c r="AU573" s="261"/>
      <c r="AV573" s="371"/>
      <c r="AW573" s="91"/>
      <c r="AX573" s="91"/>
      <c r="AY573" s="286"/>
      <c r="AZ573" s="286"/>
      <c r="BA573" s="286"/>
      <c r="BB573" s="286"/>
      <c r="BC573" s="286"/>
      <c r="BD573" s="286"/>
      <c r="BE573" s="261"/>
      <c r="BF573" s="261"/>
      <c r="BG573" s="261"/>
      <c r="BH573" s="261"/>
      <c r="BI573" s="261"/>
      <c r="BJ573" s="261"/>
      <c r="BK573" s="261"/>
      <c r="BL573" s="91"/>
      <c r="BM573" s="278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  <c r="BZ573" s="91"/>
      <c r="CA573" s="91"/>
      <c r="CB573" s="91"/>
      <c r="CC573" s="91"/>
      <c r="CD573" s="91"/>
      <c r="CE573" s="91"/>
      <c r="CF573" s="91"/>
      <c r="CG573" s="91"/>
      <c r="CH573" s="91"/>
      <c r="CI573" s="91"/>
      <c r="CJ573" s="91"/>
      <c r="CK573" s="91"/>
      <c r="CL573" s="91"/>
      <c r="CM573" s="91"/>
      <c r="CN573" s="91"/>
      <c r="CO573" s="91"/>
      <c r="CP573" s="91"/>
      <c r="CQ573" s="91"/>
      <c r="CR573" s="91"/>
      <c r="CS573" s="91"/>
      <c r="CT573" s="91"/>
      <c r="CU573" s="91"/>
      <c r="CV573" s="91"/>
      <c r="CW573" s="91"/>
      <c r="CX573" s="91"/>
      <c r="CY573" s="91"/>
      <c r="CZ573" s="91"/>
      <c r="DA573" s="91"/>
      <c r="DB573" s="91"/>
      <c r="DC573" s="91"/>
      <c r="DD573" s="91"/>
      <c r="DE573" s="91"/>
      <c r="DF573" s="91"/>
      <c r="DG573" s="91"/>
      <c r="DH573" s="91"/>
      <c r="DI573" s="91"/>
      <c r="DJ573" s="91"/>
      <c r="DK573" s="91"/>
      <c r="DL573" s="91"/>
      <c r="DM573" s="91"/>
      <c r="DN573" s="91"/>
      <c r="DO573" s="91"/>
      <c r="DP573" s="91"/>
      <c r="DQ573" s="91"/>
      <c r="DR573" s="91"/>
      <c r="DS573" s="91"/>
      <c r="DT573" s="91"/>
      <c r="DU573" s="91"/>
      <c r="DV573" s="91"/>
      <c r="DW573" s="91"/>
      <c r="DX573" s="91"/>
      <c r="DY573" s="91"/>
    </row>
    <row r="574" spans="1:129" ht="15.75">
      <c r="A574" s="238"/>
      <c r="D574" s="192"/>
      <c r="E574" s="258"/>
      <c r="F574" s="193"/>
      <c r="G574" s="91"/>
      <c r="H574" s="91"/>
      <c r="I574" s="294"/>
      <c r="J574" s="193"/>
      <c r="K574" s="193"/>
      <c r="L574" s="193"/>
      <c r="M574" s="295"/>
      <c r="N574" s="91"/>
      <c r="O574" s="193"/>
      <c r="P574" s="356"/>
      <c r="Q574" s="91"/>
      <c r="R574" s="356"/>
      <c r="S574" s="357"/>
      <c r="T574" s="357"/>
      <c r="U574" s="357"/>
      <c r="V574" s="357"/>
      <c r="W574" s="357"/>
      <c r="X574" s="357"/>
      <c r="Y574" s="357"/>
      <c r="Z574" s="357"/>
      <c r="AA574" s="374"/>
      <c r="AB574" s="377"/>
      <c r="AC574" s="377"/>
      <c r="AD574" s="377"/>
      <c r="AE574" s="288"/>
      <c r="AF574" s="288"/>
      <c r="AG574" s="288"/>
      <c r="AH574" s="288"/>
      <c r="AI574" s="288"/>
      <c r="AJ574" s="288"/>
      <c r="AK574" s="374"/>
      <c r="AL574" s="91"/>
      <c r="AM574" s="376"/>
      <c r="AN574" s="376"/>
      <c r="AO574" s="286"/>
      <c r="AP574" s="286"/>
      <c r="AQ574" s="286"/>
      <c r="AR574" s="286"/>
      <c r="AS574" s="286"/>
      <c r="AT574" s="286"/>
      <c r="AU574" s="261"/>
      <c r="AV574" s="371"/>
      <c r="AW574" s="91"/>
      <c r="AX574" s="91"/>
      <c r="AY574" s="286"/>
      <c r="AZ574" s="286"/>
      <c r="BA574" s="286"/>
      <c r="BB574" s="286"/>
      <c r="BC574" s="286"/>
      <c r="BD574" s="286"/>
      <c r="BE574" s="261"/>
      <c r="BF574" s="261"/>
      <c r="BG574" s="261"/>
      <c r="BH574" s="261"/>
      <c r="BI574" s="261"/>
      <c r="BJ574" s="261"/>
      <c r="BK574" s="261"/>
      <c r="BL574" s="91"/>
      <c r="BM574" s="278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  <c r="BZ574" s="91"/>
      <c r="CA574" s="91"/>
      <c r="CB574" s="91"/>
      <c r="CC574" s="91"/>
      <c r="CD574" s="91"/>
      <c r="CE574" s="91"/>
      <c r="CF574" s="91"/>
      <c r="CG574" s="91"/>
      <c r="CH574" s="91"/>
      <c r="CI574" s="91"/>
      <c r="CJ574" s="91"/>
      <c r="CK574" s="91"/>
      <c r="CL574" s="91"/>
      <c r="CM574" s="91"/>
      <c r="CN574" s="91"/>
      <c r="CO574" s="91"/>
      <c r="CP574" s="91"/>
      <c r="CQ574" s="91"/>
      <c r="CR574" s="91"/>
      <c r="CS574" s="91"/>
      <c r="CT574" s="91"/>
      <c r="CU574" s="91"/>
      <c r="CV574" s="91"/>
      <c r="CW574" s="91"/>
      <c r="CX574" s="91"/>
      <c r="CY574" s="91"/>
      <c r="CZ574" s="91"/>
      <c r="DA574" s="91"/>
      <c r="DB574" s="91"/>
      <c r="DC574" s="91"/>
      <c r="DD574" s="91"/>
      <c r="DE574" s="91"/>
      <c r="DF574" s="91"/>
      <c r="DG574" s="91"/>
      <c r="DH574" s="91"/>
      <c r="DI574" s="91"/>
      <c r="DJ574" s="91"/>
      <c r="DK574" s="91"/>
      <c r="DL574" s="91"/>
      <c r="DM574" s="91"/>
      <c r="DN574" s="91"/>
      <c r="DO574" s="91"/>
      <c r="DP574" s="91"/>
      <c r="DQ574" s="91"/>
      <c r="DR574" s="91"/>
      <c r="DS574" s="91"/>
      <c r="DT574" s="91"/>
      <c r="DU574" s="91"/>
      <c r="DV574" s="91"/>
      <c r="DW574" s="91"/>
      <c r="DX574" s="91"/>
      <c r="DY574" s="91"/>
    </row>
    <row r="575" spans="1:129" ht="15.75">
      <c r="A575" s="238"/>
      <c r="D575" s="192"/>
      <c r="E575" s="258"/>
      <c r="F575" s="193"/>
      <c r="G575" s="91"/>
      <c r="H575" s="91"/>
      <c r="I575" s="294"/>
      <c r="J575" s="193"/>
      <c r="K575" s="193"/>
      <c r="L575" s="193"/>
      <c r="M575" s="295"/>
      <c r="N575" s="91"/>
      <c r="O575" s="193"/>
      <c r="P575" s="356"/>
      <c r="Q575" s="91"/>
      <c r="R575" s="356"/>
      <c r="S575" s="357"/>
      <c r="T575" s="357"/>
      <c r="U575" s="357"/>
      <c r="V575" s="357"/>
      <c r="W575" s="357"/>
      <c r="X575" s="357"/>
      <c r="Y575" s="357"/>
      <c r="Z575" s="357"/>
      <c r="AA575" s="374"/>
      <c r="AB575" s="377"/>
      <c r="AC575" s="377"/>
      <c r="AD575" s="377"/>
      <c r="AE575" s="288"/>
      <c r="AF575" s="288"/>
      <c r="AG575" s="288"/>
      <c r="AH575" s="288"/>
      <c r="AI575" s="288"/>
      <c r="AJ575" s="288"/>
      <c r="AK575" s="374"/>
      <c r="AL575" s="91"/>
      <c r="AM575" s="376"/>
      <c r="AN575" s="376"/>
      <c r="AO575" s="286"/>
      <c r="AP575" s="286"/>
      <c r="AQ575" s="286"/>
      <c r="AR575" s="286"/>
      <c r="AS575" s="286"/>
      <c r="AT575" s="286"/>
      <c r="AU575" s="261"/>
      <c r="AV575" s="371"/>
      <c r="AW575" s="91"/>
      <c r="AX575" s="91"/>
      <c r="AY575" s="286"/>
      <c r="AZ575" s="286"/>
      <c r="BA575" s="286"/>
      <c r="BB575" s="286"/>
      <c r="BC575" s="286"/>
      <c r="BD575" s="286"/>
      <c r="BE575" s="261"/>
      <c r="BF575" s="261"/>
      <c r="BG575" s="261"/>
      <c r="BH575" s="261"/>
      <c r="BI575" s="261"/>
      <c r="BJ575" s="261"/>
      <c r="BK575" s="261"/>
      <c r="BL575" s="91"/>
      <c r="BM575" s="278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  <c r="BZ575" s="91"/>
      <c r="CA575" s="91"/>
      <c r="CB575" s="91"/>
      <c r="CC575" s="91"/>
      <c r="CD575" s="91"/>
      <c r="CE575" s="91"/>
      <c r="CF575" s="91"/>
      <c r="CG575" s="91"/>
      <c r="CH575" s="91"/>
      <c r="CI575" s="91"/>
      <c r="CJ575" s="91"/>
      <c r="CK575" s="91"/>
      <c r="CL575" s="91"/>
      <c r="CM575" s="91"/>
      <c r="CN575" s="91"/>
      <c r="CO575" s="91"/>
      <c r="CP575" s="91"/>
      <c r="CQ575" s="91"/>
      <c r="CR575" s="91"/>
      <c r="CS575" s="91"/>
      <c r="CT575" s="91"/>
      <c r="CU575" s="91"/>
      <c r="CV575" s="91"/>
      <c r="CW575" s="91"/>
      <c r="CX575" s="91"/>
      <c r="CY575" s="91"/>
      <c r="CZ575" s="91"/>
      <c r="DA575" s="91"/>
      <c r="DB575" s="91"/>
      <c r="DC575" s="91"/>
      <c r="DD575" s="91"/>
      <c r="DE575" s="91"/>
      <c r="DF575" s="91"/>
      <c r="DG575" s="91"/>
      <c r="DH575" s="91"/>
      <c r="DI575" s="91"/>
      <c r="DJ575" s="91"/>
      <c r="DK575" s="91"/>
      <c r="DL575" s="91"/>
      <c r="DM575" s="91"/>
      <c r="DN575" s="91"/>
      <c r="DO575" s="91"/>
      <c r="DP575" s="91"/>
      <c r="DQ575" s="91"/>
      <c r="DR575" s="91"/>
      <c r="DS575" s="91"/>
      <c r="DT575" s="91"/>
      <c r="DU575" s="91"/>
      <c r="DV575" s="91"/>
      <c r="DW575" s="91"/>
      <c r="DX575" s="91"/>
      <c r="DY575" s="91"/>
    </row>
    <row r="576" spans="1:129" ht="15.75">
      <c r="A576" s="238"/>
      <c r="D576" s="192"/>
      <c r="E576" s="258"/>
      <c r="F576" s="193"/>
      <c r="G576" s="91"/>
      <c r="H576" s="91"/>
      <c r="I576" s="294"/>
      <c r="J576" s="193"/>
      <c r="K576" s="193"/>
      <c r="L576" s="193"/>
      <c r="M576" s="295"/>
      <c r="N576" s="91"/>
      <c r="O576" s="193"/>
      <c r="P576" s="356"/>
      <c r="Q576" s="91"/>
      <c r="R576" s="356"/>
      <c r="S576" s="357"/>
      <c r="T576" s="357"/>
      <c r="U576" s="357"/>
      <c r="V576" s="357"/>
      <c r="W576" s="357"/>
      <c r="X576" s="357"/>
      <c r="Y576" s="357"/>
      <c r="Z576" s="357"/>
      <c r="AA576" s="374"/>
      <c r="AB576" s="377"/>
      <c r="AC576" s="377"/>
      <c r="AD576" s="377"/>
      <c r="AE576" s="288"/>
      <c r="AF576" s="288"/>
      <c r="AG576" s="288"/>
      <c r="AH576" s="288"/>
      <c r="AI576" s="288"/>
      <c r="AJ576" s="288"/>
      <c r="AK576" s="374"/>
      <c r="AL576" s="91"/>
      <c r="AM576" s="376"/>
      <c r="AN576" s="376"/>
      <c r="AO576" s="286"/>
      <c r="AP576" s="286"/>
      <c r="AQ576" s="286"/>
      <c r="AR576" s="286"/>
      <c r="AS576" s="286"/>
      <c r="AT576" s="286"/>
      <c r="AU576" s="261"/>
      <c r="AV576" s="371"/>
      <c r="AW576" s="91"/>
      <c r="AX576" s="91"/>
      <c r="AY576" s="286"/>
      <c r="AZ576" s="286"/>
      <c r="BA576" s="286"/>
      <c r="BB576" s="286"/>
      <c r="BC576" s="286"/>
      <c r="BD576" s="286"/>
      <c r="BE576" s="261"/>
      <c r="BF576" s="261"/>
      <c r="BG576" s="261"/>
      <c r="BH576" s="261"/>
      <c r="BI576" s="261"/>
      <c r="BJ576" s="261"/>
      <c r="BK576" s="261"/>
      <c r="BL576" s="91"/>
      <c r="BM576" s="278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  <c r="BZ576" s="91"/>
      <c r="CA576" s="91"/>
      <c r="CB576" s="91"/>
      <c r="CC576" s="91"/>
      <c r="CD576" s="91"/>
      <c r="CE576" s="91"/>
      <c r="CF576" s="91"/>
      <c r="CG576" s="91"/>
      <c r="CH576" s="91"/>
      <c r="CI576" s="91"/>
      <c r="CJ576" s="91"/>
      <c r="CK576" s="91"/>
      <c r="CL576" s="91"/>
      <c r="CM576" s="91"/>
      <c r="CN576" s="91"/>
      <c r="CO576" s="91"/>
      <c r="CP576" s="91"/>
      <c r="CQ576" s="91"/>
      <c r="CR576" s="91"/>
      <c r="CS576" s="91"/>
      <c r="CT576" s="91"/>
      <c r="CU576" s="91"/>
      <c r="CV576" s="91"/>
      <c r="CW576" s="91"/>
      <c r="CX576" s="91"/>
      <c r="CY576" s="91"/>
      <c r="CZ576" s="91"/>
      <c r="DA576" s="91"/>
      <c r="DB576" s="91"/>
      <c r="DC576" s="91"/>
      <c r="DD576" s="91"/>
      <c r="DE576" s="91"/>
      <c r="DF576" s="91"/>
      <c r="DG576" s="91"/>
      <c r="DH576" s="91"/>
      <c r="DI576" s="91"/>
      <c r="DJ576" s="91"/>
      <c r="DK576" s="91"/>
      <c r="DL576" s="91"/>
      <c r="DM576" s="91"/>
      <c r="DN576" s="91"/>
      <c r="DO576" s="91"/>
      <c r="DP576" s="91"/>
      <c r="DQ576" s="91"/>
      <c r="DR576" s="91"/>
      <c r="DS576" s="91"/>
      <c r="DT576" s="91"/>
      <c r="DU576" s="91"/>
      <c r="DV576" s="91"/>
      <c r="DW576" s="91"/>
      <c r="DX576" s="91"/>
      <c r="DY576" s="91"/>
    </row>
    <row r="577" spans="1:129" ht="15.75">
      <c r="A577" s="238"/>
      <c r="D577" s="192"/>
      <c r="E577" s="258"/>
      <c r="F577" s="193"/>
      <c r="G577" s="91"/>
      <c r="H577" s="91"/>
      <c r="I577" s="294"/>
      <c r="J577" s="193"/>
      <c r="K577" s="193"/>
      <c r="L577" s="193"/>
      <c r="M577" s="295"/>
      <c r="N577" s="91"/>
      <c r="O577" s="193"/>
      <c r="P577" s="356"/>
      <c r="Q577" s="91"/>
      <c r="R577" s="356"/>
      <c r="S577" s="357"/>
      <c r="T577" s="357"/>
      <c r="U577" s="357"/>
      <c r="V577" s="357"/>
      <c r="W577" s="357"/>
      <c r="X577" s="357"/>
      <c r="Y577" s="357"/>
      <c r="Z577" s="357"/>
      <c r="AA577" s="374"/>
      <c r="AB577" s="377"/>
      <c r="AC577" s="377"/>
      <c r="AD577" s="377"/>
      <c r="AE577" s="288"/>
      <c r="AF577" s="288"/>
      <c r="AG577" s="288"/>
      <c r="AH577" s="288"/>
      <c r="AI577" s="288"/>
      <c r="AJ577" s="288"/>
      <c r="AK577" s="374"/>
      <c r="AL577" s="91"/>
      <c r="AM577" s="376"/>
      <c r="AN577" s="376"/>
      <c r="AO577" s="286"/>
      <c r="AP577" s="286"/>
      <c r="AQ577" s="286"/>
      <c r="AR577" s="286"/>
      <c r="AS577" s="286"/>
      <c r="AT577" s="286"/>
      <c r="AU577" s="261"/>
      <c r="AV577" s="371"/>
      <c r="AW577" s="91"/>
      <c r="AX577" s="91"/>
      <c r="AY577" s="286"/>
      <c r="AZ577" s="286"/>
      <c r="BA577" s="286"/>
      <c r="BB577" s="286"/>
      <c r="BC577" s="286"/>
      <c r="BD577" s="286"/>
      <c r="BE577" s="261"/>
      <c r="BF577" s="261"/>
      <c r="BG577" s="261"/>
      <c r="BH577" s="261"/>
      <c r="BI577" s="261"/>
      <c r="BJ577" s="261"/>
      <c r="BK577" s="261"/>
      <c r="BL577" s="91"/>
      <c r="BM577" s="278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  <c r="BZ577" s="91"/>
      <c r="CA577" s="91"/>
      <c r="CB577" s="91"/>
      <c r="CC577" s="91"/>
      <c r="CD577" s="91"/>
      <c r="CE577" s="91"/>
      <c r="CF577" s="91"/>
      <c r="CG577" s="91"/>
      <c r="CH577" s="91"/>
      <c r="CI577" s="91"/>
      <c r="CJ577" s="91"/>
      <c r="CK577" s="91"/>
      <c r="CL577" s="91"/>
      <c r="CM577" s="91"/>
      <c r="CN577" s="91"/>
      <c r="CO577" s="91"/>
      <c r="CP577" s="91"/>
      <c r="CQ577" s="91"/>
      <c r="CR577" s="91"/>
      <c r="CS577" s="91"/>
      <c r="CT577" s="91"/>
      <c r="CU577" s="91"/>
      <c r="CV577" s="91"/>
      <c r="CW577" s="91"/>
      <c r="CX577" s="91"/>
      <c r="CY577" s="91"/>
      <c r="CZ577" s="91"/>
      <c r="DA577" s="91"/>
      <c r="DB577" s="91"/>
      <c r="DC577" s="91"/>
      <c r="DD577" s="91"/>
      <c r="DE577" s="91"/>
      <c r="DF577" s="91"/>
      <c r="DG577" s="91"/>
      <c r="DH577" s="91"/>
      <c r="DI577" s="91"/>
      <c r="DJ577" s="91"/>
      <c r="DK577" s="91"/>
      <c r="DL577" s="91"/>
      <c r="DM577" s="91"/>
      <c r="DN577" s="91"/>
      <c r="DO577" s="91"/>
      <c r="DP577" s="91"/>
      <c r="DQ577" s="91"/>
      <c r="DR577" s="91"/>
      <c r="DS577" s="91"/>
      <c r="DT577" s="91"/>
      <c r="DU577" s="91"/>
      <c r="DV577" s="91"/>
      <c r="DW577" s="91"/>
      <c r="DX577" s="91"/>
      <c r="DY577" s="91"/>
    </row>
    <row r="578" spans="1:129" ht="15.75">
      <c r="A578" s="238"/>
      <c r="D578" s="192"/>
      <c r="E578" s="258"/>
      <c r="F578" s="193"/>
      <c r="G578" s="91"/>
      <c r="H578" s="91"/>
      <c r="I578" s="294"/>
      <c r="J578" s="193"/>
      <c r="K578" s="193"/>
      <c r="L578" s="193"/>
      <c r="M578" s="295"/>
      <c r="N578" s="91"/>
      <c r="O578" s="193"/>
      <c r="P578" s="356"/>
      <c r="Q578" s="91"/>
      <c r="R578" s="356"/>
      <c r="S578" s="357"/>
      <c r="T578" s="357"/>
      <c r="U578" s="357"/>
      <c r="V578" s="357"/>
      <c r="W578" s="357"/>
      <c r="X578" s="357"/>
      <c r="Y578" s="357"/>
      <c r="Z578" s="357"/>
      <c r="AA578" s="374"/>
      <c r="AB578" s="377"/>
      <c r="AC578" s="377"/>
      <c r="AD578" s="377"/>
      <c r="AE578" s="288"/>
      <c r="AF578" s="288"/>
      <c r="AG578" s="288"/>
      <c r="AH578" s="288"/>
      <c r="AI578" s="288"/>
      <c r="AJ578" s="288"/>
      <c r="AK578" s="374"/>
      <c r="AL578" s="91"/>
      <c r="AM578" s="376"/>
      <c r="AN578" s="376"/>
      <c r="AO578" s="286"/>
      <c r="AP578" s="286"/>
      <c r="AQ578" s="286"/>
      <c r="AR578" s="286"/>
      <c r="AS578" s="286"/>
      <c r="AT578" s="286"/>
      <c r="AU578" s="261"/>
      <c r="AV578" s="371"/>
      <c r="AW578" s="91"/>
      <c r="AX578" s="91"/>
      <c r="AY578" s="286"/>
      <c r="AZ578" s="286"/>
      <c r="BA578" s="286"/>
      <c r="BB578" s="286"/>
      <c r="BC578" s="286"/>
      <c r="BD578" s="286"/>
      <c r="BE578" s="261"/>
      <c r="BF578" s="261"/>
      <c r="BG578" s="261"/>
      <c r="BH578" s="261"/>
      <c r="BI578" s="261"/>
      <c r="BJ578" s="261"/>
      <c r="BK578" s="261"/>
      <c r="BL578" s="91"/>
      <c r="BM578" s="278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  <c r="BZ578" s="91"/>
      <c r="CA578" s="91"/>
      <c r="CB578" s="91"/>
      <c r="CC578" s="91"/>
      <c r="CD578" s="91"/>
      <c r="CE578" s="91"/>
      <c r="CF578" s="91"/>
      <c r="CG578" s="91"/>
      <c r="CH578" s="91"/>
      <c r="CI578" s="91"/>
      <c r="CJ578" s="91"/>
      <c r="CK578" s="91"/>
      <c r="CL578" s="91"/>
      <c r="CM578" s="91"/>
      <c r="CN578" s="91"/>
      <c r="CO578" s="91"/>
      <c r="CP578" s="91"/>
      <c r="CQ578" s="91"/>
      <c r="CR578" s="91"/>
      <c r="CS578" s="91"/>
      <c r="CT578" s="91"/>
      <c r="CU578" s="91"/>
      <c r="CV578" s="91"/>
      <c r="CW578" s="91"/>
      <c r="CX578" s="91"/>
      <c r="CY578" s="91"/>
      <c r="CZ578" s="91"/>
      <c r="DA578" s="91"/>
      <c r="DB578" s="91"/>
      <c r="DC578" s="91"/>
      <c r="DD578" s="91"/>
      <c r="DE578" s="91"/>
      <c r="DF578" s="91"/>
      <c r="DG578" s="91"/>
      <c r="DH578" s="91"/>
      <c r="DI578" s="91"/>
      <c r="DJ578" s="91"/>
      <c r="DK578" s="91"/>
      <c r="DL578" s="91"/>
      <c r="DM578" s="91"/>
      <c r="DN578" s="91"/>
      <c r="DO578" s="91"/>
      <c r="DP578" s="91"/>
      <c r="DQ578" s="91"/>
      <c r="DR578" s="91"/>
      <c r="DS578" s="91"/>
      <c r="DT578" s="91"/>
      <c r="DU578" s="91"/>
      <c r="DV578" s="91"/>
      <c r="DW578" s="91"/>
      <c r="DX578" s="91"/>
      <c r="DY578" s="91"/>
    </row>
    <row r="579" spans="1:129" ht="15.75">
      <c r="A579" s="238"/>
      <c r="D579" s="192"/>
      <c r="E579" s="258"/>
      <c r="F579" s="193"/>
      <c r="G579" s="91"/>
      <c r="H579" s="91"/>
      <c r="I579" s="294"/>
      <c r="J579" s="193"/>
      <c r="K579" s="193"/>
      <c r="L579" s="193"/>
      <c r="M579" s="295"/>
      <c r="N579" s="91"/>
      <c r="O579" s="193"/>
      <c r="P579" s="356"/>
      <c r="Q579" s="91"/>
      <c r="R579" s="356"/>
      <c r="S579" s="357"/>
      <c r="T579" s="357"/>
      <c r="U579" s="357"/>
      <c r="V579" s="357"/>
      <c r="W579" s="357"/>
      <c r="X579" s="357"/>
      <c r="Y579" s="357"/>
      <c r="Z579" s="357"/>
      <c r="AA579" s="374"/>
      <c r="AB579" s="377"/>
      <c r="AC579" s="377"/>
      <c r="AD579" s="377"/>
      <c r="AE579" s="288"/>
      <c r="AF579" s="288"/>
      <c r="AG579" s="288"/>
      <c r="AH579" s="288"/>
      <c r="AI579" s="288"/>
      <c r="AJ579" s="288"/>
      <c r="AK579" s="374"/>
      <c r="AL579" s="91"/>
      <c r="AM579" s="376"/>
      <c r="AN579" s="376"/>
      <c r="AO579" s="286"/>
      <c r="AP579" s="286"/>
      <c r="AQ579" s="286"/>
      <c r="AR579" s="286"/>
      <c r="AS579" s="286"/>
      <c r="AT579" s="286"/>
      <c r="AU579" s="261"/>
      <c r="AV579" s="371"/>
      <c r="AW579" s="91"/>
      <c r="AX579" s="91"/>
      <c r="AY579" s="286"/>
      <c r="AZ579" s="286"/>
      <c r="BA579" s="286"/>
      <c r="BB579" s="286"/>
      <c r="BC579" s="286"/>
      <c r="BD579" s="286"/>
      <c r="BE579" s="261"/>
      <c r="BF579" s="261"/>
      <c r="BG579" s="261"/>
      <c r="BH579" s="261"/>
      <c r="BI579" s="261"/>
      <c r="BJ579" s="261"/>
      <c r="BK579" s="261"/>
      <c r="BL579" s="91"/>
      <c r="BM579" s="278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  <c r="BZ579" s="91"/>
      <c r="CA579" s="91"/>
      <c r="CB579" s="91"/>
      <c r="CC579" s="91"/>
      <c r="CD579" s="91"/>
      <c r="CE579" s="91"/>
      <c r="CF579" s="91"/>
      <c r="CG579" s="91"/>
      <c r="CH579" s="91"/>
      <c r="CI579" s="91"/>
      <c r="CJ579" s="91"/>
      <c r="CK579" s="91"/>
      <c r="CL579" s="91"/>
      <c r="CM579" s="91"/>
      <c r="CN579" s="91"/>
      <c r="CO579" s="91"/>
      <c r="CP579" s="91"/>
      <c r="CQ579" s="91"/>
      <c r="CR579" s="91"/>
      <c r="CS579" s="91"/>
      <c r="CT579" s="91"/>
      <c r="CU579" s="91"/>
      <c r="CV579" s="91"/>
      <c r="CW579" s="91"/>
      <c r="CX579" s="91"/>
      <c r="CY579" s="91"/>
      <c r="CZ579" s="91"/>
      <c r="DA579" s="91"/>
      <c r="DB579" s="91"/>
      <c r="DC579" s="91"/>
      <c r="DD579" s="91"/>
      <c r="DE579" s="91"/>
      <c r="DF579" s="91"/>
      <c r="DG579" s="91"/>
      <c r="DH579" s="91"/>
      <c r="DI579" s="91"/>
      <c r="DJ579" s="91"/>
      <c r="DK579" s="91"/>
      <c r="DL579" s="91"/>
      <c r="DM579" s="91"/>
      <c r="DN579" s="91"/>
      <c r="DO579" s="91"/>
      <c r="DP579" s="91"/>
      <c r="DQ579" s="91"/>
      <c r="DR579" s="91"/>
      <c r="DS579" s="91"/>
      <c r="DT579" s="91"/>
      <c r="DU579" s="91"/>
      <c r="DV579" s="91"/>
      <c r="DW579" s="91"/>
      <c r="DX579" s="91"/>
      <c r="DY579" s="91"/>
    </row>
    <row r="580" spans="1:129" ht="15.75">
      <c r="A580" s="238"/>
      <c r="D580" s="192"/>
      <c r="E580" s="258"/>
      <c r="F580" s="193"/>
      <c r="G580" s="91"/>
      <c r="H580" s="91"/>
      <c r="I580" s="294"/>
      <c r="J580" s="193"/>
      <c r="K580" s="193"/>
      <c r="L580" s="193"/>
      <c r="M580" s="295"/>
      <c r="N580" s="91"/>
      <c r="O580" s="193"/>
      <c r="P580" s="356"/>
      <c r="Q580" s="91"/>
      <c r="R580" s="356"/>
      <c r="S580" s="357"/>
      <c r="T580" s="357"/>
      <c r="U580" s="357"/>
      <c r="V580" s="357"/>
      <c r="W580" s="357"/>
      <c r="X580" s="357"/>
      <c r="Y580" s="357"/>
      <c r="Z580" s="357"/>
      <c r="AA580" s="374"/>
      <c r="AB580" s="377"/>
      <c r="AC580" s="377"/>
      <c r="AD580" s="377"/>
      <c r="AE580" s="288"/>
      <c r="AF580" s="288"/>
      <c r="AG580" s="288"/>
      <c r="AH580" s="288"/>
      <c r="AI580" s="288"/>
      <c r="AJ580" s="288"/>
      <c r="AK580" s="374"/>
      <c r="AL580" s="91"/>
      <c r="AM580" s="376"/>
      <c r="AN580" s="376"/>
      <c r="AO580" s="286"/>
      <c r="AP580" s="286"/>
      <c r="AQ580" s="286"/>
      <c r="AR580" s="286"/>
      <c r="AS580" s="286"/>
      <c r="AT580" s="286"/>
      <c r="AU580" s="261"/>
      <c r="AV580" s="371"/>
      <c r="AW580" s="91"/>
      <c r="AX580" s="91"/>
      <c r="AY580" s="286"/>
      <c r="AZ580" s="286"/>
      <c r="BA580" s="286"/>
      <c r="BB580" s="286"/>
      <c r="BC580" s="286"/>
      <c r="BD580" s="286"/>
      <c r="BE580" s="261"/>
      <c r="BF580" s="261"/>
      <c r="BG580" s="261"/>
      <c r="BH580" s="261"/>
      <c r="BI580" s="261"/>
      <c r="BJ580" s="261"/>
      <c r="BK580" s="261"/>
      <c r="BL580" s="91"/>
      <c r="BM580" s="278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  <c r="BZ580" s="91"/>
      <c r="CA580" s="91"/>
      <c r="CB580" s="91"/>
      <c r="CC580" s="91"/>
      <c r="CD580" s="91"/>
      <c r="CE580" s="91"/>
      <c r="CF580" s="91"/>
      <c r="CG580" s="91"/>
      <c r="CH580" s="91"/>
      <c r="CI580" s="91"/>
      <c r="CJ580" s="91"/>
      <c r="CK580" s="91"/>
      <c r="CL580" s="91"/>
      <c r="CM580" s="91"/>
      <c r="CN580" s="91"/>
      <c r="CO580" s="91"/>
      <c r="CP580" s="91"/>
      <c r="CQ580" s="91"/>
      <c r="CR580" s="91"/>
      <c r="CS580" s="91"/>
      <c r="CT580" s="91"/>
      <c r="CU580" s="91"/>
      <c r="CV580" s="91"/>
      <c r="CW580" s="91"/>
      <c r="CX580" s="91"/>
      <c r="CY580" s="91"/>
      <c r="CZ580" s="91"/>
      <c r="DA580" s="91"/>
      <c r="DB580" s="91"/>
      <c r="DC580" s="91"/>
      <c r="DD580" s="91"/>
      <c r="DE580" s="91"/>
      <c r="DF580" s="91"/>
      <c r="DG580" s="91"/>
      <c r="DH580" s="91"/>
      <c r="DI580" s="91"/>
      <c r="DJ580" s="91"/>
      <c r="DK580" s="91"/>
      <c r="DL580" s="91"/>
      <c r="DM580" s="91"/>
      <c r="DN580" s="91"/>
      <c r="DO580" s="91"/>
      <c r="DP580" s="91"/>
      <c r="DQ580" s="91"/>
      <c r="DR580" s="91"/>
      <c r="DS580" s="91"/>
      <c r="DT580" s="91"/>
      <c r="DU580" s="91"/>
      <c r="DV580" s="91"/>
      <c r="DW580" s="91"/>
      <c r="DX580" s="91"/>
      <c r="DY580" s="91"/>
    </row>
    <row r="581" spans="1:129" ht="15.75">
      <c r="A581" s="238"/>
      <c r="D581" s="192"/>
      <c r="E581" s="258"/>
      <c r="F581" s="193"/>
      <c r="G581" s="91"/>
      <c r="H581" s="91"/>
      <c r="I581" s="294"/>
      <c r="J581" s="193"/>
      <c r="K581" s="193"/>
      <c r="L581" s="193"/>
      <c r="M581" s="295"/>
      <c r="N581" s="91"/>
      <c r="O581" s="193"/>
      <c r="P581" s="356"/>
      <c r="Q581" s="91"/>
      <c r="R581" s="356"/>
      <c r="S581" s="357"/>
      <c r="T581" s="357"/>
      <c r="U581" s="357"/>
      <c r="V581" s="357"/>
      <c r="W581" s="357"/>
      <c r="X581" s="357"/>
      <c r="Y581" s="357"/>
      <c r="Z581" s="357"/>
      <c r="AA581" s="374"/>
      <c r="AB581" s="377"/>
      <c r="AC581" s="377"/>
      <c r="AD581" s="377"/>
      <c r="AE581" s="288"/>
      <c r="AF581" s="288"/>
      <c r="AG581" s="288"/>
      <c r="AH581" s="288"/>
      <c r="AI581" s="288"/>
      <c r="AJ581" s="288"/>
      <c r="AK581" s="374"/>
      <c r="AL581" s="91"/>
      <c r="AM581" s="376"/>
      <c r="AN581" s="376"/>
      <c r="AO581" s="286"/>
      <c r="AP581" s="286"/>
      <c r="AQ581" s="286"/>
      <c r="AR581" s="286"/>
      <c r="AS581" s="286"/>
      <c r="AT581" s="286"/>
      <c r="AU581" s="261"/>
      <c r="AV581" s="371"/>
      <c r="AW581" s="91"/>
      <c r="AX581" s="91"/>
      <c r="AY581" s="286"/>
      <c r="AZ581" s="286"/>
      <c r="BA581" s="286"/>
      <c r="BB581" s="286"/>
      <c r="BC581" s="286"/>
      <c r="BD581" s="286"/>
      <c r="BE581" s="261"/>
      <c r="BF581" s="261"/>
      <c r="BG581" s="261"/>
      <c r="BH581" s="261"/>
      <c r="BI581" s="261"/>
      <c r="BJ581" s="261"/>
      <c r="BK581" s="261"/>
      <c r="BL581" s="91"/>
      <c r="BM581" s="278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  <c r="BZ581" s="91"/>
      <c r="CA581" s="91"/>
      <c r="CB581" s="91"/>
      <c r="CC581" s="91"/>
      <c r="CD581" s="91"/>
      <c r="CE581" s="91"/>
      <c r="CF581" s="91"/>
      <c r="CG581" s="91"/>
      <c r="CH581" s="91"/>
      <c r="CI581" s="91"/>
      <c r="CJ581" s="91"/>
      <c r="CK581" s="91"/>
      <c r="CL581" s="91"/>
      <c r="CM581" s="91"/>
      <c r="CN581" s="91"/>
      <c r="CO581" s="91"/>
      <c r="CP581" s="91"/>
      <c r="CQ581" s="91"/>
      <c r="CR581" s="91"/>
      <c r="CS581" s="91"/>
      <c r="CT581" s="91"/>
      <c r="CU581" s="91"/>
      <c r="CV581" s="91"/>
      <c r="CW581" s="91"/>
      <c r="CX581" s="91"/>
      <c r="CY581" s="91"/>
      <c r="CZ581" s="91"/>
      <c r="DA581" s="91"/>
      <c r="DB581" s="91"/>
      <c r="DC581" s="91"/>
      <c r="DD581" s="91"/>
      <c r="DE581" s="91"/>
      <c r="DF581" s="91"/>
      <c r="DG581" s="91"/>
      <c r="DH581" s="91"/>
      <c r="DI581" s="91"/>
      <c r="DJ581" s="91"/>
      <c r="DK581" s="91"/>
      <c r="DL581" s="91"/>
      <c r="DM581" s="91"/>
      <c r="DN581" s="91"/>
      <c r="DO581" s="91"/>
      <c r="DP581" s="91"/>
      <c r="DQ581" s="91"/>
      <c r="DR581" s="91"/>
      <c r="DS581" s="91"/>
      <c r="DT581" s="91"/>
      <c r="DU581" s="91"/>
      <c r="DV581" s="91"/>
      <c r="DW581" s="91"/>
      <c r="DX581" s="91"/>
      <c r="DY581" s="91"/>
    </row>
    <row r="582" spans="1:129" ht="15.75">
      <c r="A582" s="238"/>
      <c r="D582" s="192"/>
      <c r="E582" s="258"/>
      <c r="F582" s="193"/>
      <c r="G582" s="91"/>
      <c r="H582" s="91"/>
      <c r="I582" s="294"/>
      <c r="J582" s="193"/>
      <c r="K582" s="193"/>
      <c r="L582" s="193"/>
      <c r="M582" s="295"/>
      <c r="N582" s="91"/>
      <c r="O582" s="193"/>
      <c r="P582" s="356"/>
      <c r="Q582" s="91"/>
      <c r="R582" s="356"/>
      <c r="S582" s="357"/>
      <c r="T582" s="357"/>
      <c r="U582" s="357"/>
      <c r="V582" s="357"/>
      <c r="W582" s="357"/>
      <c r="X582" s="357"/>
      <c r="Y582" s="357"/>
      <c r="Z582" s="357"/>
      <c r="AA582" s="374"/>
      <c r="AB582" s="377"/>
      <c r="AC582" s="377"/>
      <c r="AD582" s="377"/>
      <c r="AE582" s="288"/>
      <c r="AF582" s="288"/>
      <c r="AG582" s="288"/>
      <c r="AH582" s="288"/>
      <c r="AI582" s="288"/>
      <c r="AJ582" s="288"/>
      <c r="AK582" s="374"/>
      <c r="AL582" s="91"/>
      <c r="AM582" s="376"/>
      <c r="AN582" s="376"/>
      <c r="AO582" s="286"/>
      <c r="AP582" s="286"/>
      <c r="AQ582" s="286"/>
      <c r="AR582" s="286"/>
      <c r="AS582" s="286"/>
      <c r="AT582" s="286"/>
      <c r="AU582" s="261"/>
      <c r="AV582" s="371"/>
      <c r="AW582" s="91"/>
      <c r="AX582" s="91"/>
      <c r="AY582" s="286"/>
      <c r="AZ582" s="286"/>
      <c r="BA582" s="286"/>
      <c r="BB582" s="286"/>
      <c r="BC582" s="286"/>
      <c r="BD582" s="286"/>
      <c r="BE582" s="261"/>
      <c r="BF582" s="261"/>
      <c r="BG582" s="261"/>
      <c r="BH582" s="261"/>
      <c r="BI582" s="261"/>
      <c r="BJ582" s="261"/>
      <c r="BK582" s="261"/>
      <c r="BL582" s="91"/>
      <c r="BM582" s="278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  <c r="BZ582" s="91"/>
      <c r="CA582" s="91"/>
      <c r="CB582" s="91"/>
      <c r="CC582" s="91"/>
      <c r="CD582" s="91"/>
      <c r="CE582" s="91"/>
      <c r="CF582" s="91"/>
      <c r="CG582" s="91"/>
      <c r="CH582" s="91"/>
      <c r="CI582" s="91"/>
      <c r="CJ582" s="91"/>
      <c r="CK582" s="91"/>
      <c r="CL582" s="91"/>
      <c r="CM582" s="91"/>
      <c r="CN582" s="91"/>
      <c r="CO582" s="91"/>
      <c r="CP582" s="91"/>
      <c r="CQ582" s="91"/>
      <c r="CR582" s="91"/>
      <c r="CS582" s="91"/>
      <c r="CT582" s="91"/>
      <c r="CU582" s="91"/>
      <c r="CV582" s="91"/>
      <c r="CW582" s="91"/>
      <c r="CX582" s="91"/>
      <c r="CY582" s="91"/>
      <c r="CZ582" s="91"/>
      <c r="DA582" s="91"/>
      <c r="DB582" s="91"/>
      <c r="DC582" s="91"/>
      <c r="DD582" s="91"/>
      <c r="DE582" s="91"/>
      <c r="DF582" s="91"/>
      <c r="DG582" s="91"/>
      <c r="DH582" s="91"/>
      <c r="DI582" s="91"/>
      <c r="DJ582" s="91"/>
      <c r="DK582" s="91"/>
      <c r="DL582" s="91"/>
      <c r="DM582" s="91"/>
      <c r="DN582" s="91"/>
      <c r="DO582" s="91"/>
      <c r="DP582" s="91"/>
      <c r="DQ582" s="91"/>
      <c r="DR582" s="91"/>
      <c r="DS582" s="91"/>
      <c r="DT582" s="91"/>
      <c r="DU582" s="91"/>
      <c r="DV582" s="91"/>
      <c r="DW582" s="91"/>
      <c r="DX582" s="91"/>
      <c r="DY582" s="91"/>
    </row>
    <row r="583" spans="1:129" ht="15.75">
      <c r="A583" s="238"/>
      <c r="D583" s="192"/>
      <c r="E583" s="258"/>
      <c r="F583" s="193"/>
      <c r="G583" s="91"/>
      <c r="H583" s="91"/>
      <c r="I583" s="294"/>
      <c r="J583" s="193"/>
      <c r="K583" s="193"/>
      <c r="L583" s="193"/>
      <c r="M583" s="295"/>
      <c r="N583" s="91"/>
      <c r="O583" s="193"/>
      <c r="P583" s="356"/>
      <c r="Q583" s="91"/>
      <c r="R583" s="356"/>
      <c r="S583" s="357"/>
      <c r="T583" s="357"/>
      <c r="U583" s="357"/>
      <c r="V583" s="357"/>
      <c r="W583" s="357"/>
      <c r="X583" s="357"/>
      <c r="Y583" s="357"/>
      <c r="Z583" s="357"/>
      <c r="AA583" s="374"/>
      <c r="AB583" s="377"/>
      <c r="AC583" s="377"/>
      <c r="AD583" s="377"/>
      <c r="AE583" s="288"/>
      <c r="AF583" s="288"/>
      <c r="AG583" s="288"/>
      <c r="AH583" s="288"/>
      <c r="AI583" s="288"/>
      <c r="AJ583" s="288"/>
      <c r="AK583" s="374"/>
      <c r="AL583" s="91"/>
      <c r="AM583" s="376"/>
      <c r="AN583" s="376"/>
      <c r="AO583" s="286"/>
      <c r="AP583" s="286"/>
      <c r="AQ583" s="286"/>
      <c r="AR583" s="286"/>
      <c r="AS583" s="286"/>
      <c r="AT583" s="286"/>
      <c r="AU583" s="261"/>
      <c r="AV583" s="371"/>
      <c r="AW583" s="91"/>
      <c r="AX583" s="91"/>
      <c r="AY583" s="286"/>
      <c r="AZ583" s="286"/>
      <c r="BA583" s="286"/>
      <c r="BB583" s="286"/>
      <c r="BC583" s="286"/>
      <c r="BD583" s="286"/>
      <c r="BE583" s="261"/>
      <c r="BF583" s="261"/>
      <c r="BG583" s="261"/>
      <c r="BH583" s="261"/>
      <c r="BI583" s="261"/>
      <c r="BJ583" s="261"/>
      <c r="BK583" s="261"/>
      <c r="BL583" s="91"/>
      <c r="BM583" s="278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  <c r="BZ583" s="91"/>
      <c r="CA583" s="91"/>
      <c r="CB583" s="91"/>
      <c r="CC583" s="91"/>
      <c r="CD583" s="91"/>
      <c r="CE583" s="91"/>
      <c r="CF583" s="91"/>
      <c r="CG583" s="91"/>
      <c r="CH583" s="91"/>
      <c r="CI583" s="91"/>
      <c r="CJ583" s="91"/>
      <c r="CK583" s="91"/>
      <c r="CL583" s="91"/>
      <c r="CM583" s="91"/>
      <c r="CN583" s="91"/>
      <c r="CO583" s="91"/>
      <c r="CP583" s="91"/>
      <c r="CQ583" s="91"/>
      <c r="CR583" s="91"/>
      <c r="CS583" s="91"/>
      <c r="CT583" s="91"/>
      <c r="CU583" s="91"/>
      <c r="CV583" s="91"/>
      <c r="CW583" s="91"/>
      <c r="CX583" s="91"/>
      <c r="CY583" s="91"/>
      <c r="CZ583" s="91"/>
      <c r="DA583" s="91"/>
      <c r="DB583" s="91"/>
      <c r="DC583" s="91"/>
      <c r="DD583" s="91"/>
      <c r="DE583" s="91"/>
      <c r="DF583" s="91"/>
      <c r="DG583" s="91"/>
      <c r="DH583" s="91"/>
      <c r="DI583" s="91"/>
      <c r="DJ583" s="91"/>
      <c r="DK583" s="91"/>
      <c r="DL583" s="91"/>
      <c r="DM583" s="91"/>
      <c r="DN583" s="91"/>
      <c r="DO583" s="91"/>
      <c r="DP583" s="91"/>
      <c r="DQ583" s="91"/>
      <c r="DR583" s="91"/>
      <c r="DS583" s="91"/>
      <c r="DT583" s="91"/>
      <c r="DU583" s="91"/>
      <c r="DV583" s="91"/>
      <c r="DW583" s="91"/>
      <c r="DX583" s="91"/>
      <c r="DY583" s="91"/>
    </row>
    <row r="584" spans="1:129" ht="15.75">
      <c r="A584" s="238"/>
      <c r="D584" s="192"/>
      <c r="E584" s="258"/>
      <c r="F584" s="193"/>
      <c r="G584" s="91"/>
      <c r="H584" s="91"/>
      <c r="I584" s="294"/>
      <c r="J584" s="193"/>
      <c r="K584" s="193"/>
      <c r="L584" s="193"/>
      <c r="M584" s="295"/>
      <c r="N584" s="91"/>
      <c r="O584" s="193"/>
      <c r="P584" s="356"/>
      <c r="Q584" s="91"/>
      <c r="R584" s="356"/>
      <c r="S584" s="357"/>
      <c r="T584" s="357"/>
      <c r="U584" s="357"/>
      <c r="V584" s="357"/>
      <c r="W584" s="357"/>
      <c r="X584" s="357"/>
      <c r="Y584" s="357"/>
      <c r="Z584" s="357"/>
      <c r="AA584" s="374"/>
      <c r="AB584" s="377"/>
      <c r="AC584" s="377"/>
      <c r="AD584" s="377"/>
      <c r="AE584" s="288"/>
      <c r="AF584" s="288"/>
      <c r="AG584" s="288"/>
      <c r="AH584" s="288"/>
      <c r="AI584" s="288"/>
      <c r="AJ584" s="288"/>
      <c r="AK584" s="374"/>
      <c r="AL584" s="91"/>
      <c r="AM584" s="376"/>
      <c r="AN584" s="376"/>
      <c r="AO584" s="286"/>
      <c r="AP584" s="286"/>
      <c r="AQ584" s="286"/>
      <c r="AR584" s="286"/>
      <c r="AS584" s="286"/>
      <c r="AT584" s="286"/>
      <c r="AU584" s="261"/>
      <c r="AV584" s="371"/>
      <c r="AW584" s="91"/>
      <c r="AX584" s="91"/>
      <c r="AY584" s="286"/>
      <c r="AZ584" s="286"/>
      <c r="BA584" s="286"/>
      <c r="BB584" s="286"/>
      <c r="BC584" s="286"/>
      <c r="BD584" s="286"/>
      <c r="BE584" s="261"/>
      <c r="BF584" s="261"/>
      <c r="BG584" s="261"/>
      <c r="BH584" s="261"/>
      <c r="BI584" s="261"/>
      <c r="BJ584" s="261"/>
      <c r="BK584" s="261"/>
      <c r="BL584" s="91"/>
      <c r="BM584" s="278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  <c r="BZ584" s="91"/>
      <c r="CA584" s="91"/>
      <c r="CB584" s="91"/>
      <c r="CC584" s="91"/>
      <c r="CD584" s="91"/>
      <c r="CE584" s="91"/>
      <c r="CF584" s="91"/>
      <c r="CG584" s="91"/>
      <c r="CH584" s="91"/>
      <c r="CI584" s="91"/>
      <c r="CJ584" s="91"/>
      <c r="CK584" s="91"/>
      <c r="CL584" s="91"/>
      <c r="CM584" s="91"/>
      <c r="CN584" s="91"/>
      <c r="CO584" s="91"/>
      <c r="CP584" s="91"/>
      <c r="CQ584" s="91"/>
      <c r="CR584" s="91"/>
      <c r="CS584" s="91"/>
      <c r="CT584" s="91"/>
      <c r="CU584" s="91"/>
      <c r="CV584" s="91"/>
      <c r="CW584" s="91"/>
      <c r="CX584" s="91"/>
      <c r="CY584" s="91"/>
      <c r="CZ584" s="91"/>
      <c r="DA584" s="91"/>
      <c r="DB584" s="91"/>
      <c r="DC584" s="91"/>
      <c r="DD584" s="91"/>
      <c r="DE584" s="91"/>
      <c r="DF584" s="91"/>
      <c r="DG584" s="91"/>
      <c r="DH584" s="91"/>
      <c r="DI584" s="91"/>
      <c r="DJ584" s="91"/>
      <c r="DK584" s="91"/>
      <c r="DL584" s="91"/>
      <c r="DM584" s="91"/>
      <c r="DN584" s="91"/>
      <c r="DO584" s="91"/>
      <c r="DP584" s="91"/>
      <c r="DQ584" s="91"/>
      <c r="DR584" s="91"/>
      <c r="DS584" s="91"/>
      <c r="DT584" s="91"/>
      <c r="DU584" s="91"/>
      <c r="DV584" s="91"/>
      <c r="DW584" s="91"/>
      <c r="DX584" s="91"/>
      <c r="DY584" s="91"/>
    </row>
    <row r="585" spans="1:129" ht="15.75">
      <c r="A585" s="238"/>
      <c r="D585" s="192"/>
      <c r="E585" s="258"/>
      <c r="F585" s="193"/>
      <c r="G585" s="91"/>
      <c r="H585" s="91"/>
      <c r="I585" s="294"/>
      <c r="J585" s="193"/>
      <c r="K585" s="193"/>
      <c r="L585" s="193"/>
      <c r="M585" s="295"/>
      <c r="N585" s="91"/>
      <c r="O585" s="193"/>
      <c r="P585" s="356"/>
      <c r="Q585" s="91"/>
      <c r="R585" s="356"/>
      <c r="S585" s="357"/>
      <c r="T585" s="357"/>
      <c r="U585" s="357"/>
      <c r="V585" s="357"/>
      <c r="W585" s="357"/>
      <c r="X585" s="357"/>
      <c r="Y585" s="357"/>
      <c r="Z585" s="357"/>
      <c r="AA585" s="374"/>
      <c r="AB585" s="377"/>
      <c r="AC585" s="377"/>
      <c r="AD585" s="377"/>
      <c r="AE585" s="288"/>
      <c r="AF585" s="288"/>
      <c r="AG585" s="288"/>
      <c r="AH585" s="288"/>
      <c r="AI585" s="288"/>
      <c r="AJ585" s="288"/>
      <c r="AK585" s="374"/>
      <c r="AL585" s="91"/>
      <c r="AM585" s="376"/>
      <c r="AN585" s="376"/>
      <c r="AO585" s="286"/>
      <c r="AP585" s="286"/>
      <c r="AQ585" s="286"/>
      <c r="AR585" s="286"/>
      <c r="AS585" s="286"/>
      <c r="AT585" s="286"/>
      <c r="AU585" s="261"/>
      <c r="AV585" s="371"/>
      <c r="AW585" s="91"/>
      <c r="AX585" s="91"/>
      <c r="AY585" s="286"/>
      <c r="AZ585" s="286"/>
      <c r="BA585" s="286"/>
      <c r="BB585" s="286"/>
      <c r="BC585" s="286"/>
      <c r="BD585" s="286"/>
      <c r="BE585" s="261"/>
      <c r="BF585" s="261"/>
      <c r="BG585" s="261"/>
      <c r="BH585" s="261"/>
      <c r="BI585" s="261"/>
      <c r="BJ585" s="261"/>
      <c r="BK585" s="261"/>
      <c r="BL585" s="91"/>
      <c r="BM585" s="278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  <c r="BZ585" s="91"/>
      <c r="CA585" s="91"/>
      <c r="CB585" s="91"/>
      <c r="CC585" s="91"/>
      <c r="CD585" s="91"/>
      <c r="CE585" s="91"/>
      <c r="CF585" s="91"/>
      <c r="CG585" s="91"/>
      <c r="CH585" s="91"/>
      <c r="CI585" s="91"/>
      <c r="CJ585" s="91"/>
      <c r="CK585" s="91"/>
      <c r="CL585" s="91"/>
      <c r="CM585" s="91"/>
      <c r="CN585" s="91"/>
      <c r="CO585" s="91"/>
      <c r="CP585" s="91"/>
      <c r="CQ585" s="91"/>
      <c r="CR585" s="91"/>
      <c r="CS585" s="91"/>
      <c r="CT585" s="91"/>
      <c r="CU585" s="91"/>
      <c r="CV585" s="91"/>
      <c r="CW585" s="91"/>
      <c r="CX585" s="91"/>
      <c r="CY585" s="91"/>
      <c r="CZ585" s="91"/>
      <c r="DA585" s="91"/>
      <c r="DB585" s="91"/>
      <c r="DC585" s="91"/>
      <c r="DD585" s="91"/>
      <c r="DE585" s="91"/>
      <c r="DF585" s="91"/>
      <c r="DG585" s="91"/>
      <c r="DH585" s="91"/>
      <c r="DI585" s="91"/>
      <c r="DJ585" s="91"/>
      <c r="DK585" s="91"/>
      <c r="DL585" s="91"/>
      <c r="DM585" s="91"/>
      <c r="DN585" s="91"/>
      <c r="DO585" s="91"/>
      <c r="DP585" s="91"/>
      <c r="DQ585" s="91"/>
      <c r="DR585" s="91"/>
      <c r="DS585" s="91"/>
      <c r="DT585" s="91"/>
      <c r="DU585" s="91"/>
      <c r="DV585" s="91"/>
      <c r="DW585" s="91"/>
      <c r="DX585" s="91"/>
      <c r="DY585" s="91"/>
    </row>
    <row r="586" spans="1:129" ht="15.75">
      <c r="A586" s="238"/>
      <c r="D586" s="192"/>
      <c r="E586" s="258"/>
      <c r="F586" s="193"/>
      <c r="G586" s="91"/>
      <c r="H586" s="91"/>
      <c r="I586" s="294"/>
      <c r="J586" s="193"/>
      <c r="K586" s="193"/>
      <c r="L586" s="193"/>
      <c r="M586" s="295"/>
      <c r="N586" s="91"/>
      <c r="O586" s="193"/>
      <c r="P586" s="356"/>
      <c r="Q586" s="91"/>
      <c r="R586" s="356"/>
      <c r="S586" s="357"/>
      <c r="T586" s="357"/>
      <c r="U586" s="357"/>
      <c r="V586" s="357"/>
      <c r="W586" s="357"/>
      <c r="X586" s="357"/>
      <c r="Y586" s="357"/>
      <c r="Z586" s="357"/>
      <c r="AA586" s="374"/>
      <c r="AB586" s="377"/>
      <c r="AC586" s="377"/>
      <c r="AD586" s="377"/>
      <c r="AE586" s="288"/>
      <c r="AF586" s="288"/>
      <c r="AG586" s="288"/>
      <c r="AH586" s="288"/>
      <c r="AI586" s="288"/>
      <c r="AJ586" s="288"/>
      <c r="AK586" s="374"/>
      <c r="AL586" s="91"/>
      <c r="AM586" s="376"/>
      <c r="AN586" s="376"/>
      <c r="AO586" s="286"/>
      <c r="AP586" s="286"/>
      <c r="AQ586" s="286"/>
      <c r="AR586" s="286"/>
      <c r="AS586" s="286"/>
      <c r="AT586" s="286"/>
      <c r="AU586" s="261"/>
      <c r="AV586" s="371"/>
      <c r="AW586" s="91"/>
      <c r="AX586" s="91"/>
      <c r="AY586" s="286"/>
      <c r="AZ586" s="286"/>
      <c r="BA586" s="286"/>
      <c r="BB586" s="286"/>
      <c r="BC586" s="286"/>
      <c r="BD586" s="286"/>
      <c r="BE586" s="261"/>
      <c r="BF586" s="261"/>
      <c r="BG586" s="261"/>
      <c r="BH586" s="261"/>
      <c r="BI586" s="261"/>
      <c r="BJ586" s="261"/>
      <c r="BK586" s="261"/>
      <c r="BL586" s="91"/>
      <c r="BM586" s="278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  <c r="BZ586" s="91"/>
      <c r="CA586" s="91"/>
      <c r="CB586" s="91"/>
      <c r="CC586" s="91"/>
      <c r="CD586" s="91"/>
      <c r="CE586" s="91"/>
      <c r="CF586" s="91"/>
      <c r="CG586" s="91"/>
      <c r="CH586" s="91"/>
      <c r="CI586" s="91"/>
      <c r="CJ586" s="91"/>
      <c r="CK586" s="91"/>
      <c r="CL586" s="91"/>
      <c r="CM586" s="91"/>
      <c r="CN586" s="91"/>
      <c r="CO586" s="91"/>
      <c r="CP586" s="91"/>
      <c r="CQ586" s="91"/>
      <c r="CR586" s="91"/>
      <c r="CS586" s="91"/>
      <c r="CT586" s="91"/>
      <c r="CU586" s="91"/>
      <c r="CV586" s="91"/>
      <c r="CW586" s="91"/>
      <c r="CX586" s="91"/>
      <c r="CY586" s="91"/>
      <c r="CZ586" s="91"/>
      <c r="DA586" s="91"/>
      <c r="DB586" s="91"/>
      <c r="DC586" s="91"/>
      <c r="DD586" s="91"/>
      <c r="DE586" s="91"/>
      <c r="DF586" s="91"/>
      <c r="DG586" s="91"/>
      <c r="DH586" s="91"/>
      <c r="DI586" s="91"/>
      <c r="DJ586" s="91"/>
      <c r="DK586" s="91"/>
      <c r="DL586" s="91"/>
      <c r="DM586" s="91"/>
      <c r="DN586" s="91"/>
      <c r="DO586" s="91"/>
      <c r="DP586" s="91"/>
      <c r="DQ586" s="91"/>
      <c r="DR586" s="91"/>
      <c r="DS586" s="91"/>
      <c r="DT586" s="91"/>
      <c r="DU586" s="91"/>
      <c r="DV586" s="91"/>
      <c r="DW586" s="91"/>
      <c r="DX586" s="91"/>
      <c r="DY586" s="91"/>
    </row>
    <row r="587" spans="1:129" ht="15.75">
      <c r="A587" s="238"/>
      <c r="D587" s="192"/>
      <c r="E587" s="258"/>
      <c r="F587" s="193"/>
      <c r="G587" s="91"/>
      <c r="H587" s="91"/>
      <c r="I587" s="294"/>
      <c r="J587" s="193"/>
      <c r="K587" s="193"/>
      <c r="L587" s="193"/>
      <c r="M587" s="295"/>
      <c r="N587" s="91"/>
      <c r="O587" s="193"/>
      <c r="P587" s="356"/>
      <c r="Q587" s="91"/>
      <c r="R587" s="356"/>
      <c r="S587" s="357"/>
      <c r="T587" s="357"/>
      <c r="U587" s="357"/>
      <c r="V587" s="357"/>
      <c r="W587" s="357"/>
      <c r="X587" s="357"/>
      <c r="Y587" s="357"/>
      <c r="Z587" s="357"/>
      <c r="AA587" s="374"/>
      <c r="AB587" s="377"/>
      <c r="AC587" s="377"/>
      <c r="AD587" s="377"/>
      <c r="AE587" s="288"/>
      <c r="AF587" s="288"/>
      <c r="AG587" s="288"/>
      <c r="AH587" s="288"/>
      <c r="AI587" s="288"/>
      <c r="AJ587" s="288"/>
      <c r="AK587" s="374"/>
      <c r="AL587" s="91"/>
      <c r="AM587" s="376"/>
      <c r="AN587" s="376"/>
      <c r="AO587" s="286"/>
      <c r="AP587" s="286"/>
      <c r="AQ587" s="286"/>
      <c r="AR587" s="286"/>
      <c r="AS587" s="286"/>
      <c r="AT587" s="286"/>
      <c r="AU587" s="261"/>
      <c r="AV587" s="371"/>
      <c r="AW587" s="91"/>
      <c r="AX587" s="91"/>
      <c r="AY587" s="286"/>
      <c r="AZ587" s="286"/>
      <c r="BA587" s="286"/>
      <c r="BB587" s="286"/>
      <c r="BC587" s="286"/>
      <c r="BD587" s="286"/>
      <c r="BE587" s="261"/>
      <c r="BF587" s="261"/>
      <c r="BG587" s="261"/>
      <c r="BH587" s="261"/>
      <c r="BI587" s="261"/>
      <c r="BJ587" s="261"/>
      <c r="BK587" s="261"/>
      <c r="BL587" s="91"/>
      <c r="BM587" s="278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  <c r="BZ587" s="91"/>
      <c r="CA587" s="91"/>
      <c r="CB587" s="91"/>
      <c r="CC587" s="91"/>
      <c r="CD587" s="91"/>
      <c r="CE587" s="91"/>
      <c r="CF587" s="91"/>
      <c r="CG587" s="91"/>
      <c r="CH587" s="91"/>
      <c r="CI587" s="91"/>
      <c r="CJ587" s="91"/>
      <c r="CK587" s="91"/>
      <c r="CL587" s="91"/>
      <c r="CM587" s="91"/>
      <c r="CN587" s="91"/>
      <c r="CO587" s="91"/>
      <c r="CP587" s="91"/>
      <c r="CQ587" s="91"/>
      <c r="CR587" s="91"/>
      <c r="CS587" s="91"/>
      <c r="CT587" s="91"/>
      <c r="CU587" s="91"/>
      <c r="CV587" s="91"/>
      <c r="CW587" s="91"/>
      <c r="CX587" s="91"/>
      <c r="CY587" s="91"/>
      <c r="CZ587" s="91"/>
      <c r="DA587" s="91"/>
      <c r="DB587" s="91"/>
      <c r="DC587" s="91"/>
      <c r="DD587" s="91"/>
      <c r="DE587" s="91"/>
      <c r="DF587" s="91"/>
      <c r="DG587" s="91"/>
      <c r="DH587" s="91"/>
      <c r="DI587" s="91"/>
      <c r="DJ587" s="91"/>
      <c r="DK587" s="91"/>
      <c r="DL587" s="91"/>
      <c r="DM587" s="91"/>
      <c r="DN587" s="91"/>
      <c r="DO587" s="91"/>
      <c r="DP587" s="91"/>
      <c r="DQ587" s="91"/>
      <c r="DR587" s="91"/>
      <c r="DS587" s="91"/>
      <c r="DT587" s="91"/>
      <c r="DU587" s="91"/>
      <c r="DV587" s="91"/>
      <c r="DW587" s="91"/>
      <c r="DX587" s="91"/>
      <c r="DY587" s="91"/>
    </row>
    <row r="588" spans="1:129" ht="15.75">
      <c r="A588" s="238"/>
      <c r="D588" s="192"/>
      <c r="E588" s="258"/>
      <c r="F588" s="193"/>
      <c r="G588" s="91"/>
      <c r="H588" s="91"/>
      <c r="I588" s="294"/>
      <c r="J588" s="193"/>
      <c r="K588" s="193"/>
      <c r="L588" s="193"/>
      <c r="M588" s="295"/>
      <c r="N588" s="91"/>
      <c r="O588" s="193"/>
      <c r="P588" s="356"/>
      <c r="Q588" s="91"/>
      <c r="R588" s="356"/>
      <c r="S588" s="357"/>
      <c r="T588" s="357"/>
      <c r="U588" s="357"/>
      <c r="V588" s="357"/>
      <c r="W588" s="357"/>
      <c r="X588" s="357"/>
      <c r="Y588" s="357"/>
      <c r="Z588" s="357"/>
      <c r="AA588" s="374"/>
      <c r="AB588" s="377"/>
      <c r="AC588" s="377"/>
      <c r="AD588" s="377"/>
      <c r="AE588" s="288"/>
      <c r="AF588" s="288"/>
      <c r="AG588" s="288"/>
      <c r="AH588" s="288"/>
      <c r="AI588" s="288"/>
      <c r="AJ588" s="288"/>
      <c r="AK588" s="374"/>
      <c r="AL588" s="91"/>
      <c r="AM588" s="376"/>
      <c r="AN588" s="376"/>
      <c r="AO588" s="286"/>
      <c r="AP588" s="286"/>
      <c r="AQ588" s="286"/>
      <c r="AR588" s="286"/>
      <c r="AS588" s="286"/>
      <c r="AT588" s="286"/>
      <c r="AU588" s="261"/>
      <c r="AV588" s="371"/>
      <c r="AW588" s="91"/>
      <c r="AX588" s="91"/>
      <c r="AY588" s="286"/>
      <c r="AZ588" s="286"/>
      <c r="BA588" s="286"/>
      <c r="BB588" s="286"/>
      <c r="BC588" s="286"/>
      <c r="BD588" s="286"/>
      <c r="BE588" s="261"/>
      <c r="BF588" s="261"/>
      <c r="BG588" s="261"/>
      <c r="BH588" s="261"/>
      <c r="BI588" s="261"/>
      <c r="BJ588" s="261"/>
      <c r="BK588" s="261"/>
      <c r="BL588" s="91"/>
      <c r="BM588" s="278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  <c r="BZ588" s="91"/>
      <c r="CA588" s="91"/>
      <c r="CB588" s="91"/>
      <c r="CC588" s="91"/>
      <c r="CD588" s="91"/>
      <c r="CE588" s="91"/>
      <c r="CF588" s="91"/>
      <c r="CG588" s="91"/>
      <c r="CH588" s="91"/>
      <c r="CI588" s="91"/>
      <c r="CJ588" s="91"/>
      <c r="CK588" s="91"/>
      <c r="CL588" s="91"/>
      <c r="CM588" s="91"/>
      <c r="CN588" s="91"/>
      <c r="CO588" s="91"/>
      <c r="CP588" s="91"/>
      <c r="CQ588" s="91"/>
      <c r="CR588" s="91"/>
      <c r="CS588" s="91"/>
      <c r="CT588" s="91"/>
      <c r="CU588" s="91"/>
      <c r="CV588" s="91"/>
      <c r="CW588" s="91"/>
      <c r="CX588" s="91"/>
      <c r="CY588" s="91"/>
      <c r="CZ588" s="91"/>
      <c r="DA588" s="91"/>
      <c r="DB588" s="91"/>
      <c r="DC588" s="91"/>
      <c r="DD588" s="91"/>
      <c r="DE588" s="91"/>
      <c r="DF588" s="91"/>
      <c r="DG588" s="91"/>
      <c r="DH588" s="91"/>
      <c r="DI588" s="91"/>
      <c r="DJ588" s="91"/>
      <c r="DK588" s="91"/>
      <c r="DL588" s="91"/>
      <c r="DM588" s="91"/>
      <c r="DN588" s="91"/>
      <c r="DO588" s="91"/>
      <c r="DP588" s="91"/>
      <c r="DQ588" s="91"/>
      <c r="DR588" s="91"/>
      <c r="DS588" s="91"/>
      <c r="DT588" s="91"/>
      <c r="DU588" s="91"/>
      <c r="DV588" s="91"/>
      <c r="DW588" s="91"/>
      <c r="DX588" s="91"/>
      <c r="DY588" s="91"/>
    </row>
    <row r="589" spans="1:129" ht="15.75">
      <c r="A589" s="238"/>
      <c r="D589" s="192"/>
      <c r="E589" s="258"/>
      <c r="F589" s="193"/>
      <c r="G589" s="91"/>
      <c r="H589" s="91"/>
      <c r="I589" s="294"/>
      <c r="J589" s="193"/>
      <c r="K589" s="193"/>
      <c r="L589" s="193"/>
      <c r="M589" s="295"/>
      <c r="N589" s="91"/>
      <c r="O589" s="193"/>
      <c r="P589" s="356"/>
      <c r="Q589" s="91"/>
      <c r="R589" s="356"/>
      <c r="S589" s="357"/>
      <c r="T589" s="357"/>
      <c r="U589" s="357"/>
      <c r="V589" s="357"/>
      <c r="W589" s="357"/>
      <c r="X589" s="357"/>
      <c r="Y589" s="357"/>
      <c r="Z589" s="357"/>
      <c r="AA589" s="374"/>
      <c r="AB589" s="377"/>
      <c r="AC589" s="377"/>
      <c r="AD589" s="377"/>
      <c r="AE589" s="288"/>
      <c r="AF589" s="288"/>
      <c r="AG589" s="288"/>
      <c r="AH589" s="288"/>
      <c r="AI589" s="288"/>
      <c r="AJ589" s="288"/>
      <c r="AK589" s="374"/>
      <c r="AL589" s="91"/>
      <c r="AM589" s="376"/>
      <c r="AN589" s="376"/>
      <c r="AO589" s="286"/>
      <c r="AP589" s="286"/>
      <c r="AQ589" s="286"/>
      <c r="AR589" s="286"/>
      <c r="AS589" s="286"/>
      <c r="AT589" s="286"/>
      <c r="AU589" s="261"/>
      <c r="AV589" s="371"/>
      <c r="AW589" s="91"/>
      <c r="AX589" s="91"/>
      <c r="AY589" s="286"/>
      <c r="AZ589" s="286"/>
      <c r="BA589" s="286"/>
      <c r="BB589" s="286"/>
      <c r="BC589" s="286"/>
      <c r="BD589" s="286"/>
      <c r="BE589" s="261"/>
      <c r="BF589" s="261"/>
      <c r="BG589" s="261"/>
      <c r="BH589" s="261"/>
      <c r="BI589" s="261"/>
      <c r="BJ589" s="261"/>
      <c r="BK589" s="261"/>
      <c r="BL589" s="91"/>
      <c r="BM589" s="278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  <c r="BZ589" s="91"/>
      <c r="CA589" s="91"/>
      <c r="CB589" s="91"/>
      <c r="CC589" s="91"/>
      <c r="CD589" s="91"/>
      <c r="CE589" s="91"/>
      <c r="CF589" s="91"/>
      <c r="CG589" s="91"/>
      <c r="CH589" s="91"/>
      <c r="CI589" s="91"/>
      <c r="CJ589" s="91"/>
      <c r="CK589" s="91"/>
      <c r="CL589" s="91"/>
      <c r="CM589" s="91"/>
      <c r="CN589" s="91"/>
      <c r="CO589" s="91"/>
      <c r="CP589" s="91"/>
      <c r="CQ589" s="91"/>
      <c r="CR589" s="91"/>
      <c r="CS589" s="91"/>
      <c r="CT589" s="91"/>
      <c r="CU589" s="91"/>
      <c r="CV589" s="91"/>
      <c r="CW589" s="91"/>
      <c r="CX589" s="91"/>
      <c r="CY589" s="91"/>
      <c r="CZ589" s="91"/>
      <c r="DA589" s="91"/>
      <c r="DB589" s="91"/>
      <c r="DC589" s="91"/>
      <c r="DD589" s="91"/>
      <c r="DE589" s="91"/>
      <c r="DF589" s="91"/>
      <c r="DG589" s="91"/>
      <c r="DH589" s="91"/>
      <c r="DI589" s="91"/>
      <c r="DJ589" s="91"/>
      <c r="DK589" s="91"/>
      <c r="DL589" s="91"/>
      <c r="DM589" s="91"/>
      <c r="DN589" s="91"/>
      <c r="DO589" s="91"/>
      <c r="DP589" s="91"/>
      <c r="DQ589" s="91"/>
      <c r="DR589" s="91"/>
      <c r="DS589" s="91"/>
      <c r="DT589" s="91"/>
      <c r="DU589" s="91"/>
      <c r="DV589" s="91"/>
      <c r="DW589" s="91"/>
      <c r="DX589" s="91"/>
      <c r="DY589" s="91"/>
    </row>
    <row r="590" spans="1:129" ht="15.75">
      <c r="A590" s="238"/>
      <c r="D590" s="192"/>
      <c r="E590" s="258"/>
      <c r="F590" s="193"/>
      <c r="G590" s="91"/>
      <c r="H590" s="91"/>
      <c r="I590" s="294"/>
      <c r="J590" s="193"/>
      <c r="K590" s="193"/>
      <c r="L590" s="193"/>
      <c r="M590" s="295"/>
      <c r="N590" s="91"/>
      <c r="O590" s="193"/>
      <c r="P590" s="356"/>
      <c r="Q590" s="91"/>
      <c r="R590" s="356"/>
      <c r="S590" s="357"/>
      <c r="T590" s="357"/>
      <c r="U590" s="357"/>
      <c r="V590" s="357"/>
      <c r="W590" s="357"/>
      <c r="X590" s="357"/>
      <c r="Y590" s="357"/>
      <c r="Z590" s="357"/>
      <c r="AA590" s="374"/>
      <c r="AB590" s="377"/>
      <c r="AC590" s="377"/>
      <c r="AD590" s="377"/>
      <c r="AE590" s="288"/>
      <c r="AF590" s="288"/>
      <c r="AG590" s="288"/>
      <c r="AH590" s="288"/>
      <c r="AI590" s="288"/>
      <c r="AJ590" s="288"/>
      <c r="AK590" s="374"/>
      <c r="AL590" s="91"/>
      <c r="AM590" s="376"/>
      <c r="AN590" s="376"/>
      <c r="AO590" s="286"/>
      <c r="AP590" s="286"/>
      <c r="AQ590" s="286"/>
      <c r="AR590" s="286"/>
      <c r="AS590" s="286"/>
      <c r="AT590" s="286"/>
      <c r="AU590" s="261"/>
      <c r="AV590" s="371"/>
      <c r="AW590" s="91"/>
      <c r="AX590" s="91"/>
      <c r="AY590" s="286"/>
      <c r="AZ590" s="286"/>
      <c r="BA590" s="286"/>
      <c r="BB590" s="286"/>
      <c r="BC590" s="286"/>
      <c r="BD590" s="286"/>
      <c r="BE590" s="261"/>
      <c r="BF590" s="261"/>
      <c r="BG590" s="261"/>
      <c r="BH590" s="261"/>
      <c r="BI590" s="261"/>
      <c r="BJ590" s="261"/>
      <c r="BK590" s="261"/>
      <c r="BL590" s="91"/>
      <c r="BM590" s="278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  <c r="BZ590" s="91"/>
      <c r="CA590" s="91"/>
      <c r="CB590" s="91"/>
      <c r="CC590" s="91"/>
      <c r="CD590" s="91"/>
      <c r="CE590" s="91"/>
      <c r="CF590" s="91"/>
      <c r="CG590" s="91"/>
      <c r="CH590" s="91"/>
      <c r="CI590" s="91"/>
      <c r="CJ590" s="91"/>
      <c r="CK590" s="91"/>
      <c r="CL590" s="91"/>
      <c r="CM590" s="91"/>
      <c r="CN590" s="91"/>
      <c r="CO590" s="91"/>
      <c r="CP590" s="91"/>
      <c r="CQ590" s="91"/>
      <c r="CR590" s="91"/>
      <c r="CS590" s="91"/>
      <c r="CT590" s="91"/>
      <c r="CU590" s="91"/>
      <c r="CV590" s="91"/>
      <c r="CW590" s="91"/>
      <c r="CX590" s="91"/>
      <c r="CY590" s="91"/>
      <c r="CZ590" s="91"/>
      <c r="DA590" s="91"/>
      <c r="DB590" s="91"/>
      <c r="DC590" s="91"/>
      <c r="DD590" s="91"/>
      <c r="DE590" s="91"/>
      <c r="DF590" s="91"/>
      <c r="DG590" s="91"/>
      <c r="DH590" s="91"/>
      <c r="DI590" s="91"/>
      <c r="DJ590" s="91"/>
      <c r="DK590" s="91"/>
      <c r="DL590" s="91"/>
      <c r="DM590" s="91"/>
      <c r="DN590" s="91"/>
      <c r="DO590" s="91"/>
      <c r="DP590" s="91"/>
      <c r="DQ590" s="91"/>
      <c r="DR590" s="91"/>
      <c r="DS590" s="91"/>
      <c r="DT590" s="91"/>
      <c r="DU590" s="91"/>
      <c r="DV590" s="91"/>
      <c r="DW590" s="91"/>
      <c r="DX590" s="91"/>
      <c r="DY590" s="91"/>
    </row>
    <row r="591" spans="1:129" ht="15.75">
      <c r="A591" s="238"/>
      <c r="D591" s="192"/>
      <c r="E591" s="258"/>
      <c r="F591" s="193"/>
      <c r="G591" s="91"/>
      <c r="H591" s="91"/>
      <c r="I591" s="294"/>
      <c r="J591" s="193"/>
      <c r="K591" s="193"/>
      <c r="L591" s="193"/>
      <c r="M591" s="295"/>
      <c r="N591" s="91"/>
      <c r="O591" s="193"/>
      <c r="P591" s="356"/>
      <c r="Q591" s="91"/>
      <c r="R591" s="356"/>
      <c r="S591" s="357"/>
      <c r="T591" s="357"/>
      <c r="U591" s="357"/>
      <c r="V591" s="357"/>
      <c r="W591" s="357"/>
      <c r="X591" s="357"/>
      <c r="Y591" s="357"/>
      <c r="Z591" s="357"/>
      <c r="AA591" s="374"/>
      <c r="AB591" s="377"/>
      <c r="AC591" s="377"/>
      <c r="AD591" s="377"/>
      <c r="AE591" s="288"/>
      <c r="AF591" s="288"/>
      <c r="AG591" s="288"/>
      <c r="AH591" s="288"/>
      <c r="AI591" s="288"/>
      <c r="AJ591" s="288"/>
      <c r="AK591" s="374"/>
      <c r="AL591" s="91"/>
      <c r="AM591" s="376"/>
      <c r="AN591" s="376"/>
      <c r="AO591" s="286"/>
      <c r="AP591" s="286"/>
      <c r="AQ591" s="286"/>
      <c r="AR591" s="286"/>
      <c r="AS591" s="286"/>
      <c r="AT591" s="286"/>
      <c r="AU591" s="261"/>
      <c r="AV591" s="371"/>
      <c r="AW591" s="91"/>
      <c r="AX591" s="91"/>
      <c r="AY591" s="286"/>
      <c r="AZ591" s="286"/>
      <c r="BA591" s="286"/>
      <c r="BB591" s="286"/>
      <c r="BC591" s="286"/>
      <c r="BD591" s="286"/>
      <c r="BE591" s="261"/>
      <c r="BF591" s="261"/>
      <c r="BG591" s="261"/>
      <c r="BH591" s="261"/>
      <c r="BI591" s="261"/>
      <c r="BJ591" s="261"/>
      <c r="BK591" s="261"/>
      <c r="BL591" s="91"/>
      <c r="BM591" s="278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  <c r="BZ591" s="91"/>
      <c r="CA591" s="91"/>
      <c r="CB591" s="91"/>
      <c r="CC591" s="91"/>
      <c r="CD591" s="91"/>
      <c r="CE591" s="91"/>
      <c r="CF591" s="91"/>
      <c r="CG591" s="91"/>
      <c r="CH591" s="91"/>
      <c r="CI591" s="91"/>
      <c r="CJ591" s="91"/>
      <c r="CK591" s="91"/>
      <c r="CL591" s="91"/>
      <c r="CM591" s="91"/>
      <c r="CN591" s="91"/>
      <c r="CO591" s="91"/>
      <c r="CP591" s="91"/>
      <c r="CQ591" s="91"/>
      <c r="CR591" s="91"/>
      <c r="CS591" s="91"/>
      <c r="CT591" s="91"/>
      <c r="CU591" s="91"/>
      <c r="CV591" s="91"/>
      <c r="CW591" s="91"/>
      <c r="CX591" s="91"/>
      <c r="CY591" s="91"/>
      <c r="CZ591" s="91"/>
      <c r="DA591" s="91"/>
      <c r="DB591" s="91"/>
      <c r="DC591" s="91"/>
      <c r="DD591" s="91"/>
      <c r="DE591" s="91"/>
      <c r="DF591" s="91"/>
      <c r="DG591" s="91"/>
      <c r="DH591" s="91"/>
      <c r="DI591" s="91"/>
      <c r="DJ591" s="91"/>
      <c r="DK591" s="91"/>
      <c r="DL591" s="91"/>
      <c r="DM591" s="91"/>
      <c r="DN591" s="91"/>
      <c r="DO591" s="91"/>
      <c r="DP591" s="91"/>
      <c r="DQ591" s="91"/>
      <c r="DR591" s="91"/>
      <c r="DS591" s="91"/>
      <c r="DT591" s="91"/>
      <c r="DU591" s="91"/>
      <c r="DV591" s="91"/>
      <c r="DW591" s="91"/>
      <c r="DX591" s="91"/>
      <c r="DY591" s="91"/>
    </row>
    <row r="592" spans="1:129" ht="15.75">
      <c r="A592" s="238"/>
      <c r="D592" s="192"/>
      <c r="E592" s="258"/>
      <c r="F592" s="193"/>
      <c r="G592" s="91"/>
      <c r="H592" s="91"/>
      <c r="I592" s="294"/>
      <c r="J592" s="193"/>
      <c r="K592" s="193"/>
      <c r="L592" s="193"/>
      <c r="M592" s="295"/>
      <c r="N592" s="91"/>
      <c r="O592" s="193"/>
      <c r="P592" s="356"/>
      <c r="Q592" s="91"/>
      <c r="R592" s="356"/>
      <c r="S592" s="357"/>
      <c r="T592" s="357"/>
      <c r="U592" s="357"/>
      <c r="V592" s="357"/>
      <c r="W592" s="357"/>
      <c r="X592" s="357"/>
      <c r="Y592" s="357"/>
      <c r="Z592" s="357"/>
      <c r="AA592" s="374"/>
      <c r="AB592" s="377"/>
      <c r="AC592" s="377"/>
      <c r="AD592" s="377"/>
      <c r="AE592" s="288"/>
      <c r="AF592" s="288"/>
      <c r="AG592" s="288"/>
      <c r="AH592" s="288"/>
      <c r="AI592" s="288"/>
      <c r="AJ592" s="288"/>
      <c r="AK592" s="374"/>
      <c r="AL592" s="91"/>
      <c r="AM592" s="376"/>
      <c r="AN592" s="376"/>
      <c r="AO592" s="286"/>
      <c r="AP592" s="286"/>
      <c r="AQ592" s="286"/>
      <c r="AR592" s="286"/>
      <c r="AS592" s="286"/>
      <c r="AT592" s="286"/>
      <c r="AU592" s="261"/>
      <c r="AV592" s="371"/>
      <c r="AW592" s="91"/>
      <c r="AX592" s="91"/>
      <c r="AY592" s="286"/>
      <c r="AZ592" s="286"/>
      <c r="BA592" s="286"/>
      <c r="BB592" s="286"/>
      <c r="BC592" s="286"/>
      <c r="BD592" s="286"/>
      <c r="BE592" s="261"/>
      <c r="BF592" s="261"/>
      <c r="BG592" s="261"/>
      <c r="BH592" s="261"/>
      <c r="BI592" s="261"/>
      <c r="BJ592" s="261"/>
      <c r="BK592" s="261"/>
      <c r="BL592" s="91"/>
      <c r="BM592" s="278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  <c r="BZ592" s="91"/>
      <c r="CA592" s="91"/>
      <c r="CB592" s="91"/>
      <c r="CC592" s="91"/>
      <c r="CD592" s="91"/>
      <c r="CE592" s="91"/>
      <c r="CF592" s="91"/>
      <c r="CG592" s="91"/>
      <c r="CH592" s="91"/>
      <c r="CI592" s="91"/>
      <c r="CJ592" s="91"/>
      <c r="CK592" s="91"/>
      <c r="CL592" s="91"/>
      <c r="CM592" s="91"/>
      <c r="CN592" s="91"/>
      <c r="CO592" s="91"/>
      <c r="CP592" s="91"/>
      <c r="CQ592" s="91"/>
      <c r="CR592" s="91"/>
      <c r="CS592" s="91"/>
      <c r="CT592" s="91"/>
      <c r="CU592" s="91"/>
      <c r="CV592" s="91"/>
      <c r="CW592" s="91"/>
      <c r="CX592" s="91"/>
      <c r="CY592" s="91"/>
      <c r="CZ592" s="91"/>
      <c r="DA592" s="91"/>
      <c r="DB592" s="91"/>
      <c r="DC592" s="91"/>
      <c r="DD592" s="91"/>
      <c r="DE592" s="91"/>
      <c r="DF592" s="91"/>
      <c r="DG592" s="91"/>
      <c r="DH592" s="91"/>
      <c r="DI592" s="91"/>
      <c r="DJ592" s="91"/>
      <c r="DK592" s="91"/>
      <c r="DL592" s="91"/>
      <c r="DM592" s="91"/>
      <c r="DN592" s="91"/>
      <c r="DO592" s="91"/>
      <c r="DP592" s="91"/>
      <c r="DQ592" s="91"/>
      <c r="DR592" s="91"/>
      <c r="DS592" s="91"/>
      <c r="DT592" s="91"/>
      <c r="DU592" s="91"/>
      <c r="DV592" s="91"/>
      <c r="DW592" s="91"/>
      <c r="DX592" s="91"/>
      <c r="DY592" s="91"/>
    </row>
    <row r="593" spans="1:129" ht="15.75">
      <c r="A593" s="238"/>
      <c r="D593" s="192"/>
      <c r="E593" s="258"/>
      <c r="F593" s="193"/>
      <c r="G593" s="91"/>
      <c r="H593" s="91"/>
      <c r="I593" s="294"/>
      <c r="J593" s="193"/>
      <c r="K593" s="193"/>
      <c r="L593" s="193"/>
      <c r="M593" s="295"/>
      <c r="N593" s="91"/>
      <c r="O593" s="193"/>
      <c r="P593" s="356"/>
      <c r="Q593" s="91"/>
      <c r="R593" s="356"/>
      <c r="S593" s="357"/>
      <c r="T593" s="357"/>
      <c r="U593" s="357"/>
      <c r="V593" s="357"/>
      <c r="W593" s="357"/>
      <c r="X593" s="357"/>
      <c r="Y593" s="357"/>
      <c r="Z593" s="357"/>
      <c r="AA593" s="374"/>
      <c r="AB593" s="377"/>
      <c r="AC593" s="377"/>
      <c r="AD593" s="377"/>
      <c r="AE593" s="288"/>
      <c r="AF593" s="288"/>
      <c r="AG593" s="288"/>
      <c r="AH593" s="288"/>
      <c r="AI593" s="288"/>
      <c r="AJ593" s="288"/>
      <c r="AK593" s="374"/>
      <c r="AL593" s="91"/>
      <c r="AM593" s="376"/>
      <c r="AN593" s="376"/>
      <c r="AO593" s="286"/>
      <c r="AP593" s="286"/>
      <c r="AQ593" s="286"/>
      <c r="AR593" s="286"/>
      <c r="AS593" s="286"/>
      <c r="AT593" s="286"/>
      <c r="AU593" s="261"/>
      <c r="AV593" s="371"/>
      <c r="AW593" s="91"/>
      <c r="AX593" s="91"/>
      <c r="AY593" s="286"/>
      <c r="AZ593" s="286"/>
      <c r="BA593" s="286"/>
      <c r="BB593" s="286"/>
      <c r="BC593" s="286"/>
      <c r="BD593" s="286"/>
      <c r="BE593" s="261"/>
      <c r="BF593" s="261"/>
      <c r="BG593" s="261"/>
      <c r="BH593" s="261"/>
      <c r="BI593" s="261"/>
      <c r="BJ593" s="261"/>
      <c r="BK593" s="261"/>
      <c r="BL593" s="91"/>
      <c r="BM593" s="278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  <c r="BZ593" s="91"/>
      <c r="CA593" s="91"/>
      <c r="CB593" s="91"/>
      <c r="CC593" s="91"/>
      <c r="CD593" s="91"/>
      <c r="CE593" s="91"/>
      <c r="CF593" s="91"/>
      <c r="CG593" s="91"/>
      <c r="CH593" s="91"/>
      <c r="CI593" s="91"/>
      <c r="CJ593" s="91"/>
      <c r="CK593" s="91"/>
      <c r="CL593" s="91"/>
      <c r="CM593" s="91"/>
      <c r="CN593" s="91"/>
      <c r="CO593" s="91"/>
      <c r="CP593" s="91"/>
      <c r="CQ593" s="91"/>
      <c r="CR593" s="91"/>
      <c r="CS593" s="91"/>
      <c r="CT593" s="91"/>
      <c r="CU593" s="91"/>
      <c r="CV593" s="91"/>
      <c r="CW593" s="91"/>
      <c r="CX593" s="91"/>
      <c r="CY593" s="91"/>
      <c r="CZ593" s="91"/>
      <c r="DA593" s="91"/>
      <c r="DB593" s="91"/>
      <c r="DC593" s="91"/>
      <c r="DD593" s="91"/>
      <c r="DE593" s="91"/>
      <c r="DF593" s="91"/>
      <c r="DG593" s="91"/>
      <c r="DH593" s="91"/>
      <c r="DI593" s="91"/>
      <c r="DJ593" s="91"/>
      <c r="DK593" s="91"/>
      <c r="DL593" s="91"/>
      <c r="DM593" s="91"/>
      <c r="DN593" s="91"/>
      <c r="DO593" s="91"/>
      <c r="DP593" s="91"/>
      <c r="DQ593" s="91"/>
      <c r="DR593" s="91"/>
      <c r="DS593" s="91"/>
      <c r="DT593" s="91"/>
      <c r="DU593" s="91"/>
      <c r="DV593" s="91"/>
      <c r="DW593" s="91"/>
      <c r="DX593" s="91"/>
      <c r="DY593" s="91"/>
    </row>
    <row r="594" spans="1:129" ht="15.75">
      <c r="A594" s="238"/>
      <c r="D594" s="192"/>
      <c r="E594" s="258"/>
      <c r="F594" s="193"/>
      <c r="G594" s="91"/>
      <c r="H594" s="91"/>
      <c r="I594" s="294"/>
      <c r="J594" s="193"/>
      <c r="K594" s="193"/>
      <c r="L594" s="193"/>
      <c r="M594" s="295"/>
      <c r="N594" s="91"/>
      <c r="O594" s="193"/>
      <c r="P594" s="356"/>
      <c r="Q594" s="91"/>
      <c r="R594" s="356"/>
      <c r="S594" s="357"/>
      <c r="T594" s="357"/>
      <c r="U594" s="357"/>
      <c r="V594" s="357"/>
      <c r="W594" s="357"/>
      <c r="X594" s="357"/>
      <c r="Y594" s="357"/>
      <c r="Z594" s="357"/>
      <c r="AA594" s="374"/>
      <c r="AB594" s="377"/>
      <c r="AC594" s="377"/>
      <c r="AD594" s="377"/>
      <c r="AE594" s="288"/>
      <c r="AF594" s="288"/>
      <c r="AG594" s="288"/>
      <c r="AH594" s="288"/>
      <c r="AI594" s="288"/>
      <c r="AJ594" s="288"/>
      <c r="AK594" s="374"/>
      <c r="AL594" s="91"/>
      <c r="AM594" s="376"/>
      <c r="AN594" s="376"/>
      <c r="AO594" s="286"/>
      <c r="AP594" s="286"/>
      <c r="AQ594" s="286"/>
      <c r="AR594" s="286"/>
      <c r="AS594" s="286"/>
      <c r="AT594" s="286"/>
      <c r="AU594" s="261"/>
      <c r="AV594" s="371"/>
      <c r="AW594" s="91"/>
      <c r="AX594" s="91"/>
      <c r="AY594" s="286"/>
      <c r="AZ594" s="286"/>
      <c r="BA594" s="286"/>
      <c r="BB594" s="286"/>
      <c r="BC594" s="286"/>
      <c r="BD594" s="286"/>
      <c r="BE594" s="261"/>
      <c r="BF594" s="261"/>
      <c r="BG594" s="261"/>
      <c r="BH594" s="261"/>
      <c r="BI594" s="261"/>
      <c r="BJ594" s="261"/>
      <c r="BK594" s="261"/>
      <c r="BL594" s="91"/>
      <c r="BM594" s="278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  <c r="BZ594" s="91"/>
      <c r="CA594" s="91"/>
      <c r="CB594" s="91"/>
      <c r="CC594" s="91"/>
      <c r="CD594" s="91"/>
      <c r="CE594" s="91"/>
      <c r="CF594" s="91"/>
      <c r="CG594" s="91"/>
      <c r="CH594" s="91"/>
      <c r="CI594" s="91"/>
      <c r="CJ594" s="91"/>
      <c r="CK594" s="91"/>
      <c r="CL594" s="91"/>
      <c r="CM594" s="91"/>
      <c r="CN594" s="91"/>
      <c r="CO594" s="91"/>
      <c r="CP594" s="91"/>
      <c r="CQ594" s="91"/>
      <c r="CR594" s="91"/>
      <c r="CS594" s="91"/>
      <c r="CT594" s="91"/>
      <c r="CU594" s="91"/>
      <c r="CV594" s="91"/>
      <c r="CW594" s="91"/>
      <c r="CX594" s="91"/>
      <c r="CY594" s="91"/>
      <c r="CZ594" s="91"/>
      <c r="DA594" s="91"/>
      <c r="DB594" s="91"/>
      <c r="DC594" s="91"/>
      <c r="DD594" s="91"/>
      <c r="DE594" s="91"/>
      <c r="DF594" s="91"/>
      <c r="DG594" s="91"/>
      <c r="DH594" s="91"/>
      <c r="DI594" s="91"/>
      <c r="DJ594" s="91"/>
      <c r="DK594" s="91"/>
      <c r="DL594" s="91"/>
      <c r="DM594" s="91"/>
      <c r="DN594" s="91"/>
      <c r="DO594" s="91"/>
      <c r="DP594" s="91"/>
      <c r="DQ594" s="91"/>
      <c r="DR594" s="91"/>
      <c r="DS594" s="91"/>
      <c r="DT594" s="91"/>
      <c r="DU594" s="91"/>
      <c r="DV594" s="91"/>
      <c r="DW594" s="91"/>
      <c r="DX594" s="91"/>
      <c r="DY594" s="91"/>
    </row>
    <row r="595" spans="1:129" ht="15.75">
      <c r="A595" s="238"/>
      <c r="D595" s="192"/>
      <c r="E595" s="258"/>
      <c r="F595" s="193"/>
      <c r="G595" s="91"/>
      <c r="H595" s="91"/>
      <c r="I595" s="294"/>
      <c r="J595" s="193"/>
      <c r="K595" s="193"/>
      <c r="L595" s="193"/>
      <c r="M595" s="295"/>
      <c r="N595" s="91"/>
      <c r="O595" s="193"/>
      <c r="P595" s="356"/>
      <c r="Q595" s="91"/>
      <c r="R595" s="356"/>
      <c r="S595" s="357"/>
      <c r="T595" s="357"/>
      <c r="U595" s="357"/>
      <c r="V595" s="357"/>
      <c r="W595" s="357"/>
      <c r="X595" s="357"/>
      <c r="Y595" s="357"/>
      <c r="Z595" s="357"/>
      <c r="AA595" s="374"/>
      <c r="AB595" s="377"/>
      <c r="AC595" s="377"/>
      <c r="AD595" s="377"/>
      <c r="AE595" s="288"/>
      <c r="AF595" s="288"/>
      <c r="AG595" s="288"/>
      <c r="AH595" s="288"/>
      <c r="AI595" s="288"/>
      <c r="AJ595" s="288"/>
      <c r="AK595" s="374"/>
      <c r="AL595" s="91"/>
      <c r="AM595" s="376"/>
      <c r="AN595" s="376"/>
      <c r="AO595" s="286"/>
      <c r="AP595" s="286"/>
      <c r="AQ595" s="286"/>
      <c r="AR595" s="286"/>
      <c r="AS595" s="286"/>
      <c r="AT595" s="286"/>
      <c r="AU595" s="261"/>
      <c r="AV595" s="371"/>
      <c r="AW595" s="91"/>
      <c r="AX595" s="91"/>
      <c r="AY595" s="286"/>
      <c r="AZ595" s="286"/>
      <c r="BA595" s="286"/>
      <c r="BB595" s="286"/>
      <c r="BC595" s="286"/>
      <c r="BD595" s="286"/>
      <c r="BE595" s="261"/>
      <c r="BF595" s="261"/>
      <c r="BG595" s="261"/>
      <c r="BH595" s="261"/>
      <c r="BI595" s="261"/>
      <c r="BJ595" s="261"/>
      <c r="BK595" s="261"/>
      <c r="BL595" s="91"/>
      <c r="BM595" s="278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  <c r="BZ595" s="91"/>
      <c r="CA595" s="91"/>
      <c r="CB595" s="91"/>
      <c r="CC595" s="91"/>
      <c r="CD595" s="91"/>
      <c r="CE595" s="91"/>
      <c r="CF595" s="91"/>
      <c r="CG595" s="91"/>
      <c r="CH595" s="91"/>
      <c r="CI595" s="91"/>
      <c r="CJ595" s="91"/>
      <c r="CK595" s="91"/>
      <c r="CL595" s="91"/>
      <c r="CM595" s="91"/>
      <c r="CN595" s="91"/>
      <c r="CO595" s="91"/>
      <c r="CP595" s="91"/>
      <c r="CQ595" s="91"/>
      <c r="CR595" s="91"/>
      <c r="CS595" s="91"/>
      <c r="CT595" s="91"/>
      <c r="CU595" s="91"/>
      <c r="CV595" s="91"/>
      <c r="CW595" s="91"/>
      <c r="CX595" s="91"/>
      <c r="CY595" s="91"/>
      <c r="CZ595" s="91"/>
      <c r="DA595" s="91"/>
      <c r="DB595" s="91"/>
      <c r="DC595" s="91"/>
      <c r="DD595" s="91"/>
      <c r="DE595" s="91"/>
      <c r="DF595" s="91"/>
      <c r="DG595" s="91"/>
      <c r="DH595" s="91"/>
      <c r="DI595" s="91"/>
      <c r="DJ595" s="91"/>
      <c r="DK595" s="91"/>
      <c r="DL595" s="91"/>
      <c r="DM595" s="91"/>
      <c r="DN595" s="91"/>
      <c r="DO595" s="91"/>
      <c r="DP595" s="91"/>
      <c r="DQ595" s="91"/>
      <c r="DR595" s="91"/>
      <c r="DS595" s="91"/>
      <c r="DT595" s="91"/>
      <c r="DU595" s="91"/>
      <c r="DV595" s="91"/>
      <c r="DW595" s="91"/>
      <c r="DX595" s="91"/>
      <c r="DY595" s="91"/>
    </row>
    <row r="596" spans="1:129" ht="15.75">
      <c r="A596" s="238"/>
      <c r="D596" s="192"/>
      <c r="E596" s="258"/>
      <c r="F596" s="193"/>
      <c r="G596" s="91"/>
      <c r="H596" s="91"/>
      <c r="I596" s="294"/>
      <c r="J596" s="193"/>
      <c r="K596" s="193"/>
      <c r="L596" s="193"/>
      <c r="M596" s="295"/>
      <c r="N596" s="91"/>
      <c r="O596" s="193"/>
      <c r="P596" s="356"/>
      <c r="Q596" s="91"/>
      <c r="R596" s="356"/>
      <c r="S596" s="357"/>
      <c r="T596" s="357"/>
      <c r="U596" s="357"/>
      <c r="V596" s="357"/>
      <c r="W596" s="357"/>
      <c r="X596" s="357"/>
      <c r="Y596" s="357"/>
      <c r="Z596" s="357"/>
      <c r="AA596" s="374"/>
      <c r="AB596" s="377"/>
      <c r="AC596" s="377"/>
      <c r="AD596" s="377"/>
      <c r="AE596" s="288"/>
      <c r="AF596" s="288"/>
      <c r="AG596" s="288"/>
      <c r="AH596" s="288"/>
      <c r="AI596" s="288"/>
      <c r="AJ596" s="288"/>
      <c r="AK596" s="374"/>
      <c r="AL596" s="91"/>
      <c r="AM596" s="376"/>
      <c r="AN596" s="376"/>
      <c r="AO596" s="286"/>
      <c r="AP596" s="286"/>
      <c r="AQ596" s="286"/>
      <c r="AR596" s="286"/>
      <c r="AS596" s="286"/>
      <c r="AT596" s="286"/>
      <c r="AU596" s="261"/>
      <c r="AV596" s="371"/>
      <c r="AW596" s="91"/>
      <c r="AX596" s="91"/>
      <c r="AY596" s="286"/>
      <c r="AZ596" s="286"/>
      <c r="BA596" s="286"/>
      <c r="BB596" s="286"/>
      <c r="BC596" s="286"/>
      <c r="BD596" s="286"/>
      <c r="BE596" s="261"/>
      <c r="BF596" s="261"/>
      <c r="BG596" s="261"/>
      <c r="BH596" s="261"/>
      <c r="BI596" s="261"/>
      <c r="BJ596" s="261"/>
      <c r="BK596" s="261"/>
      <c r="BL596" s="91"/>
      <c r="BM596" s="278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  <c r="BZ596" s="91"/>
      <c r="CA596" s="91"/>
      <c r="CB596" s="91"/>
      <c r="CC596" s="91"/>
      <c r="CD596" s="91"/>
      <c r="CE596" s="91"/>
      <c r="CF596" s="91"/>
      <c r="CG596" s="91"/>
      <c r="CH596" s="91"/>
      <c r="CI596" s="91"/>
      <c r="CJ596" s="91"/>
      <c r="CK596" s="91"/>
      <c r="CL596" s="91"/>
      <c r="CM596" s="91"/>
      <c r="CN596" s="91"/>
      <c r="CO596" s="91"/>
      <c r="CP596" s="91"/>
      <c r="CQ596" s="91"/>
      <c r="CR596" s="91"/>
      <c r="CS596" s="91"/>
      <c r="CT596" s="91"/>
      <c r="CU596" s="91"/>
      <c r="CV596" s="91"/>
      <c r="CW596" s="91"/>
      <c r="CX596" s="91"/>
      <c r="CY596" s="91"/>
      <c r="CZ596" s="91"/>
      <c r="DA596" s="91"/>
      <c r="DB596" s="91"/>
      <c r="DC596" s="91"/>
      <c r="DD596" s="91"/>
      <c r="DE596" s="91"/>
      <c r="DF596" s="91"/>
      <c r="DG596" s="91"/>
      <c r="DH596" s="91"/>
      <c r="DI596" s="91"/>
      <c r="DJ596" s="91"/>
      <c r="DK596" s="91"/>
      <c r="DL596" s="91"/>
      <c r="DM596" s="91"/>
      <c r="DN596" s="91"/>
      <c r="DO596" s="91"/>
      <c r="DP596" s="91"/>
      <c r="DQ596" s="91"/>
      <c r="DR596" s="91"/>
      <c r="DS596" s="91"/>
      <c r="DT596" s="91"/>
      <c r="DU596" s="91"/>
      <c r="DV596" s="91"/>
      <c r="DW596" s="91"/>
      <c r="DX596" s="91"/>
      <c r="DY596" s="91"/>
    </row>
    <row r="597" spans="1:129" ht="15.75">
      <c r="A597" s="238"/>
      <c r="D597" s="192"/>
      <c r="E597" s="258"/>
      <c r="F597" s="193"/>
      <c r="G597" s="91"/>
      <c r="H597" s="91"/>
      <c r="I597" s="294"/>
      <c r="J597" s="193"/>
      <c r="K597" s="193"/>
      <c r="L597" s="193"/>
      <c r="M597" s="295"/>
      <c r="N597" s="91"/>
      <c r="O597" s="193"/>
      <c r="P597" s="356"/>
      <c r="Q597" s="91"/>
      <c r="R597" s="356"/>
      <c r="S597" s="357"/>
      <c r="T597" s="357"/>
      <c r="U597" s="357"/>
      <c r="V597" s="357"/>
      <c r="W597" s="357"/>
      <c r="X597" s="357"/>
      <c r="Y597" s="357"/>
      <c r="Z597" s="357"/>
      <c r="AA597" s="374"/>
      <c r="AB597" s="377"/>
      <c r="AC597" s="377"/>
      <c r="AD597" s="377"/>
      <c r="AE597" s="288"/>
      <c r="AF597" s="288"/>
      <c r="AG597" s="288"/>
      <c r="AH597" s="288"/>
      <c r="AI597" s="288"/>
      <c r="AJ597" s="288"/>
      <c r="AK597" s="374"/>
      <c r="AL597" s="91"/>
      <c r="AM597" s="376"/>
      <c r="AN597" s="376"/>
      <c r="AO597" s="286"/>
      <c r="AP597" s="286"/>
      <c r="AQ597" s="286"/>
      <c r="AR597" s="286"/>
      <c r="AS597" s="286"/>
      <c r="AT597" s="286"/>
      <c r="AU597" s="261"/>
      <c r="AV597" s="371"/>
      <c r="AW597" s="91"/>
      <c r="AX597" s="91"/>
      <c r="AY597" s="286"/>
      <c r="AZ597" s="286"/>
      <c r="BA597" s="286"/>
      <c r="BB597" s="286"/>
      <c r="BC597" s="286"/>
      <c r="BD597" s="286"/>
      <c r="BE597" s="261"/>
      <c r="BF597" s="261"/>
      <c r="BG597" s="261"/>
      <c r="BH597" s="261"/>
      <c r="BI597" s="261"/>
      <c r="BJ597" s="261"/>
      <c r="BK597" s="261"/>
      <c r="BL597" s="91"/>
      <c r="BM597" s="278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  <c r="BZ597" s="91"/>
      <c r="CA597" s="91"/>
      <c r="CB597" s="91"/>
      <c r="CC597" s="91"/>
      <c r="CD597" s="91"/>
      <c r="CE597" s="91"/>
      <c r="CF597" s="91"/>
      <c r="CG597" s="91"/>
      <c r="CH597" s="91"/>
      <c r="CI597" s="91"/>
      <c r="CJ597" s="91"/>
      <c r="CK597" s="91"/>
      <c r="CL597" s="91"/>
      <c r="CM597" s="91"/>
      <c r="CN597" s="91"/>
      <c r="CO597" s="91"/>
      <c r="CP597" s="91"/>
      <c r="CQ597" s="91"/>
      <c r="CR597" s="91"/>
      <c r="CS597" s="91"/>
      <c r="CT597" s="91"/>
      <c r="CU597" s="91"/>
      <c r="CV597" s="91"/>
      <c r="CW597" s="91"/>
      <c r="CX597" s="91"/>
      <c r="CY597" s="91"/>
      <c r="CZ597" s="91"/>
      <c r="DA597" s="91"/>
      <c r="DB597" s="91"/>
      <c r="DC597" s="91"/>
      <c r="DD597" s="91"/>
      <c r="DE597" s="91"/>
      <c r="DF597" s="91"/>
      <c r="DG597" s="91"/>
      <c r="DH597" s="91"/>
      <c r="DI597" s="91"/>
      <c r="DJ597" s="91"/>
      <c r="DK597" s="91"/>
      <c r="DL597" s="91"/>
      <c r="DM597" s="91"/>
      <c r="DN597" s="91"/>
      <c r="DO597" s="91"/>
      <c r="DP597" s="91"/>
      <c r="DQ597" s="91"/>
      <c r="DR597" s="91"/>
      <c r="DS597" s="91"/>
      <c r="DT597" s="91"/>
      <c r="DU597" s="91"/>
      <c r="DV597" s="91"/>
      <c r="DW597" s="91"/>
      <c r="DX597" s="91"/>
      <c r="DY597" s="91"/>
    </row>
    <row r="598" spans="1:129" ht="15.75">
      <c r="A598" s="238"/>
      <c r="D598" s="192"/>
      <c r="E598" s="258"/>
      <c r="F598" s="193"/>
      <c r="G598" s="91"/>
      <c r="H598" s="91"/>
      <c r="I598" s="294"/>
      <c r="J598" s="193"/>
      <c r="K598" s="193"/>
      <c r="L598" s="193"/>
      <c r="M598" s="295"/>
      <c r="N598" s="91"/>
      <c r="O598" s="193"/>
      <c r="P598" s="356"/>
      <c r="Q598" s="91"/>
      <c r="R598" s="356"/>
      <c r="S598" s="357"/>
      <c r="T598" s="357"/>
      <c r="U598" s="357"/>
      <c r="V598" s="357"/>
      <c r="W598" s="357"/>
      <c r="X598" s="357"/>
      <c r="Y598" s="357"/>
      <c r="Z598" s="357"/>
      <c r="AA598" s="374"/>
      <c r="AB598" s="377"/>
      <c r="AC598" s="377"/>
      <c r="AD598" s="377"/>
      <c r="AE598" s="288"/>
      <c r="AF598" s="288"/>
      <c r="AG598" s="288"/>
      <c r="AH598" s="288"/>
      <c r="AI598" s="288"/>
      <c r="AJ598" s="288"/>
      <c r="AK598" s="374"/>
      <c r="AL598" s="91"/>
      <c r="AM598" s="376"/>
      <c r="AN598" s="376"/>
      <c r="AO598" s="286"/>
      <c r="AP598" s="286"/>
      <c r="AQ598" s="286"/>
      <c r="AR598" s="286"/>
      <c r="AS598" s="286"/>
      <c r="AT598" s="286"/>
      <c r="AU598" s="261"/>
      <c r="AV598" s="371"/>
      <c r="AW598" s="91"/>
      <c r="AX598" s="91"/>
      <c r="AY598" s="286"/>
      <c r="AZ598" s="286"/>
      <c r="BA598" s="286"/>
      <c r="BB598" s="286"/>
      <c r="BC598" s="286"/>
      <c r="BD598" s="286"/>
      <c r="BE598" s="261"/>
      <c r="BF598" s="261"/>
      <c r="BG598" s="261"/>
      <c r="BH598" s="261"/>
      <c r="BI598" s="261"/>
      <c r="BJ598" s="261"/>
      <c r="BK598" s="261"/>
      <c r="BL598" s="91"/>
      <c r="BM598" s="278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  <c r="BZ598" s="91"/>
      <c r="CA598" s="91"/>
      <c r="CB598" s="91"/>
      <c r="CC598" s="91"/>
      <c r="CD598" s="91"/>
      <c r="CE598" s="91"/>
      <c r="CF598" s="91"/>
      <c r="CG598" s="91"/>
      <c r="CH598" s="91"/>
      <c r="CI598" s="91"/>
      <c r="CJ598" s="91"/>
      <c r="CK598" s="91"/>
      <c r="CL598" s="91"/>
      <c r="CM598" s="91"/>
      <c r="CN598" s="91"/>
      <c r="CO598" s="91"/>
      <c r="CP598" s="91"/>
      <c r="CQ598" s="91"/>
      <c r="CR598" s="91"/>
      <c r="CS598" s="91"/>
      <c r="CT598" s="91"/>
      <c r="CU598" s="91"/>
      <c r="CV598" s="91"/>
      <c r="CW598" s="91"/>
      <c r="CX598" s="91"/>
      <c r="CY598" s="91"/>
      <c r="CZ598" s="91"/>
      <c r="DA598" s="91"/>
      <c r="DB598" s="91"/>
      <c r="DC598" s="91"/>
      <c r="DD598" s="91"/>
      <c r="DE598" s="91"/>
      <c r="DF598" s="91"/>
      <c r="DG598" s="91"/>
      <c r="DH598" s="91"/>
      <c r="DI598" s="91"/>
      <c r="DJ598" s="91"/>
      <c r="DK598" s="91"/>
      <c r="DL598" s="91"/>
      <c r="DM598" s="91"/>
      <c r="DN598" s="91"/>
      <c r="DO598" s="91"/>
      <c r="DP598" s="91"/>
      <c r="DQ598" s="91"/>
      <c r="DR598" s="91"/>
      <c r="DS598" s="91"/>
      <c r="DT598" s="91"/>
      <c r="DU598" s="91"/>
      <c r="DV598" s="91"/>
      <c r="DW598" s="91"/>
      <c r="DX598" s="91"/>
      <c r="DY598" s="91"/>
    </row>
    <row r="599" spans="1:129" ht="15.75">
      <c r="A599" s="238"/>
      <c r="D599" s="192"/>
      <c r="E599" s="258"/>
      <c r="F599" s="193"/>
      <c r="G599" s="91"/>
      <c r="H599" s="91"/>
      <c r="I599" s="294"/>
      <c r="J599" s="193"/>
      <c r="K599" s="193"/>
      <c r="L599" s="193"/>
      <c r="M599" s="295"/>
      <c r="N599" s="91"/>
      <c r="O599" s="193"/>
      <c r="P599" s="356"/>
      <c r="Q599" s="91"/>
      <c r="R599" s="356"/>
      <c r="S599" s="357"/>
      <c r="T599" s="357"/>
      <c r="U599" s="357"/>
      <c r="V599" s="357"/>
      <c r="W599" s="357"/>
      <c r="X599" s="357"/>
      <c r="Y599" s="357"/>
      <c r="Z599" s="357"/>
      <c r="AA599" s="374"/>
      <c r="AB599" s="377"/>
      <c r="AC599" s="377"/>
      <c r="AD599" s="377"/>
      <c r="AE599" s="288"/>
      <c r="AF599" s="288"/>
      <c r="AG599" s="288"/>
      <c r="AH599" s="288"/>
      <c r="AI599" s="288"/>
      <c r="AJ599" s="288"/>
      <c r="AK599" s="374"/>
      <c r="AL599" s="91"/>
      <c r="AM599" s="376"/>
      <c r="AN599" s="376"/>
      <c r="AO599" s="286"/>
      <c r="AP599" s="286"/>
      <c r="AQ599" s="286"/>
      <c r="AR599" s="286"/>
      <c r="AS599" s="286"/>
      <c r="AT599" s="286"/>
      <c r="AU599" s="261"/>
      <c r="AV599" s="371"/>
      <c r="AW599" s="91"/>
      <c r="AX599" s="91"/>
      <c r="AY599" s="286"/>
      <c r="AZ599" s="286"/>
      <c r="BA599" s="286"/>
      <c r="BB599" s="286"/>
      <c r="BC599" s="286"/>
      <c r="BD599" s="286"/>
      <c r="BE599" s="261"/>
      <c r="BF599" s="261"/>
      <c r="BG599" s="261"/>
      <c r="BH599" s="261"/>
      <c r="BI599" s="261"/>
      <c r="BJ599" s="261"/>
      <c r="BK599" s="261"/>
      <c r="BL599" s="91"/>
      <c r="BM599" s="278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  <c r="BZ599" s="91"/>
      <c r="CA599" s="91"/>
      <c r="CB599" s="91"/>
      <c r="CC599" s="91"/>
      <c r="CD599" s="91"/>
      <c r="CE599" s="91"/>
      <c r="CF599" s="91"/>
      <c r="CG599" s="91"/>
      <c r="CH599" s="91"/>
      <c r="CI599" s="91"/>
      <c r="CJ599" s="91"/>
      <c r="CK599" s="91"/>
      <c r="CL599" s="91"/>
      <c r="CM599" s="91"/>
      <c r="CN599" s="91"/>
      <c r="CO599" s="91"/>
      <c r="CP599" s="91"/>
      <c r="CQ599" s="91"/>
      <c r="CR599" s="91"/>
      <c r="CS599" s="91"/>
      <c r="CT599" s="91"/>
      <c r="CU599" s="91"/>
      <c r="CV599" s="91"/>
      <c r="CW599" s="91"/>
      <c r="CX599" s="91"/>
      <c r="CY599" s="91"/>
      <c r="CZ599" s="91"/>
      <c r="DA599" s="91"/>
      <c r="DB599" s="91"/>
      <c r="DC599" s="91"/>
      <c r="DD599" s="91"/>
      <c r="DE599" s="91"/>
      <c r="DF599" s="91"/>
      <c r="DG599" s="91"/>
      <c r="DH599" s="91"/>
      <c r="DI599" s="91"/>
      <c r="DJ599" s="91"/>
      <c r="DK599" s="91"/>
      <c r="DL599" s="91"/>
      <c r="DM599" s="91"/>
      <c r="DN599" s="91"/>
      <c r="DO599" s="91"/>
      <c r="DP599" s="91"/>
      <c r="DQ599" s="91"/>
      <c r="DR599" s="91"/>
      <c r="DS599" s="91"/>
      <c r="DT599" s="91"/>
      <c r="DU599" s="91"/>
      <c r="DV599" s="91"/>
      <c r="DW599" s="91"/>
      <c r="DX599" s="91"/>
      <c r="DY599" s="91"/>
    </row>
    <row r="600" spans="1:129" ht="15.75">
      <c r="A600" s="238"/>
      <c r="D600" s="192"/>
      <c r="E600" s="258"/>
      <c r="F600" s="193"/>
      <c r="G600" s="91"/>
      <c r="H600" s="91"/>
      <c r="I600" s="294"/>
      <c r="J600" s="193"/>
      <c r="K600" s="193"/>
      <c r="L600" s="193"/>
      <c r="M600" s="295"/>
      <c r="N600" s="91"/>
      <c r="O600" s="193"/>
      <c r="P600" s="356"/>
      <c r="Q600" s="91"/>
      <c r="R600" s="356"/>
      <c r="S600" s="357"/>
      <c r="T600" s="357"/>
      <c r="U600" s="357"/>
      <c r="V600" s="357"/>
      <c r="W600" s="357"/>
      <c r="X600" s="357"/>
      <c r="Y600" s="357"/>
      <c r="Z600" s="357"/>
      <c r="AA600" s="374"/>
      <c r="AB600" s="377"/>
      <c r="AC600" s="377"/>
      <c r="AD600" s="377"/>
      <c r="AE600" s="288"/>
      <c r="AF600" s="288"/>
      <c r="AG600" s="288"/>
      <c r="AH600" s="288"/>
      <c r="AI600" s="288"/>
      <c r="AJ600" s="288"/>
      <c r="AK600" s="374"/>
      <c r="AL600" s="91"/>
      <c r="AM600" s="376"/>
      <c r="AN600" s="376"/>
      <c r="AO600" s="286"/>
      <c r="AP600" s="286"/>
      <c r="AQ600" s="286"/>
      <c r="AR600" s="286"/>
      <c r="AS600" s="286"/>
      <c r="AT600" s="286"/>
      <c r="AU600" s="261"/>
      <c r="AV600" s="371"/>
      <c r="AW600" s="91"/>
      <c r="AX600" s="91"/>
      <c r="AY600" s="286"/>
      <c r="AZ600" s="286"/>
      <c r="BA600" s="286"/>
      <c r="BB600" s="286"/>
      <c r="BC600" s="286"/>
      <c r="BD600" s="286"/>
      <c r="BE600" s="261"/>
      <c r="BF600" s="261"/>
      <c r="BG600" s="261"/>
      <c r="BH600" s="261"/>
      <c r="BI600" s="261"/>
      <c r="BJ600" s="261"/>
      <c r="BK600" s="261"/>
      <c r="BL600" s="91"/>
      <c r="BM600" s="278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  <c r="BZ600" s="91"/>
      <c r="CA600" s="91"/>
      <c r="CB600" s="91"/>
      <c r="CC600" s="91"/>
      <c r="CD600" s="91"/>
      <c r="CE600" s="91"/>
      <c r="CF600" s="91"/>
      <c r="CG600" s="91"/>
      <c r="CH600" s="91"/>
      <c r="CI600" s="91"/>
      <c r="CJ600" s="91"/>
      <c r="CK600" s="91"/>
      <c r="CL600" s="91"/>
      <c r="CM600" s="91"/>
      <c r="CN600" s="91"/>
      <c r="CO600" s="91"/>
      <c r="CP600" s="91"/>
      <c r="CQ600" s="91"/>
      <c r="CR600" s="91"/>
      <c r="CS600" s="91"/>
      <c r="CT600" s="91"/>
      <c r="CU600" s="91"/>
      <c r="CV600" s="91"/>
      <c r="CW600" s="91"/>
      <c r="CX600" s="91"/>
      <c r="CY600" s="91"/>
      <c r="CZ600" s="91"/>
      <c r="DA600" s="91"/>
      <c r="DB600" s="91"/>
      <c r="DC600" s="91"/>
      <c r="DD600" s="91"/>
      <c r="DE600" s="91"/>
      <c r="DF600" s="91"/>
      <c r="DG600" s="91"/>
      <c r="DH600" s="91"/>
      <c r="DI600" s="91"/>
      <c r="DJ600" s="91"/>
      <c r="DK600" s="91"/>
      <c r="DL600" s="91"/>
      <c r="DM600" s="91"/>
      <c r="DN600" s="91"/>
      <c r="DO600" s="91"/>
      <c r="DP600" s="91"/>
      <c r="DQ600" s="91"/>
      <c r="DR600" s="91"/>
      <c r="DS600" s="91"/>
      <c r="DT600" s="91"/>
      <c r="DU600" s="91"/>
      <c r="DV600" s="91"/>
      <c r="DW600" s="91"/>
      <c r="DX600" s="91"/>
      <c r="DY600" s="91"/>
    </row>
    <row r="601" spans="1:129" ht="15.75">
      <c r="A601" s="238"/>
      <c r="D601" s="192"/>
      <c r="E601" s="258"/>
      <c r="F601" s="193"/>
      <c r="G601" s="91"/>
      <c r="H601" s="91"/>
      <c r="I601" s="294"/>
      <c r="J601" s="193"/>
      <c r="K601" s="193"/>
      <c r="L601" s="193"/>
      <c r="M601" s="295"/>
      <c r="N601" s="91"/>
      <c r="O601" s="193"/>
      <c r="P601" s="356"/>
      <c r="Q601" s="91"/>
      <c r="R601" s="356"/>
      <c r="S601" s="357"/>
      <c r="T601" s="357"/>
      <c r="U601" s="357"/>
      <c r="V601" s="357"/>
      <c r="W601" s="357"/>
      <c r="X601" s="357"/>
      <c r="Y601" s="357"/>
      <c r="Z601" s="357"/>
      <c r="AA601" s="374"/>
      <c r="AB601" s="377"/>
      <c r="AC601" s="377"/>
      <c r="AD601" s="377"/>
      <c r="AE601" s="288"/>
      <c r="AF601" s="288"/>
      <c r="AG601" s="288"/>
      <c r="AH601" s="288"/>
      <c r="AI601" s="288"/>
      <c r="AJ601" s="288"/>
      <c r="AK601" s="374"/>
      <c r="AL601" s="91"/>
      <c r="AM601" s="376"/>
      <c r="AN601" s="376"/>
      <c r="AO601" s="286"/>
      <c r="AP601" s="286"/>
      <c r="AQ601" s="286"/>
      <c r="AR601" s="286"/>
      <c r="AS601" s="286"/>
      <c r="AT601" s="286"/>
      <c r="AU601" s="261"/>
      <c r="AV601" s="371"/>
      <c r="AW601" s="91"/>
      <c r="AX601" s="91"/>
      <c r="AY601" s="286"/>
      <c r="AZ601" s="286"/>
      <c r="BA601" s="286"/>
      <c r="BB601" s="286"/>
      <c r="BC601" s="286"/>
      <c r="BD601" s="286"/>
      <c r="BE601" s="261"/>
      <c r="BF601" s="261"/>
      <c r="BG601" s="261"/>
      <c r="BH601" s="261"/>
      <c r="BI601" s="261"/>
      <c r="BJ601" s="261"/>
      <c r="BK601" s="261"/>
      <c r="BL601" s="91"/>
      <c r="BM601" s="278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  <c r="BZ601" s="91"/>
      <c r="CA601" s="91"/>
      <c r="CB601" s="91"/>
      <c r="CC601" s="91"/>
      <c r="CD601" s="91"/>
      <c r="CE601" s="91"/>
      <c r="CF601" s="91"/>
      <c r="CG601" s="91"/>
      <c r="CH601" s="91"/>
      <c r="CI601" s="91"/>
      <c r="CJ601" s="91"/>
      <c r="CK601" s="91"/>
      <c r="CL601" s="91"/>
      <c r="CM601" s="91"/>
      <c r="CN601" s="91"/>
      <c r="CO601" s="91"/>
      <c r="CP601" s="91"/>
      <c r="CQ601" s="91"/>
      <c r="CR601" s="91"/>
      <c r="CS601" s="91"/>
      <c r="CT601" s="91"/>
      <c r="CU601" s="91"/>
      <c r="CV601" s="91"/>
      <c r="CW601" s="91"/>
      <c r="CX601" s="91"/>
      <c r="CY601" s="91"/>
      <c r="CZ601" s="91"/>
      <c r="DA601" s="91"/>
      <c r="DB601" s="91"/>
      <c r="DC601" s="91"/>
      <c r="DD601" s="91"/>
      <c r="DE601" s="91"/>
      <c r="DF601" s="91"/>
      <c r="DG601" s="91"/>
      <c r="DH601" s="91"/>
      <c r="DI601" s="91"/>
      <c r="DJ601" s="91"/>
      <c r="DK601" s="91"/>
      <c r="DL601" s="91"/>
      <c r="DM601" s="91"/>
      <c r="DN601" s="91"/>
      <c r="DO601" s="91"/>
      <c r="DP601" s="91"/>
      <c r="DQ601" s="91"/>
      <c r="DR601" s="91"/>
      <c r="DS601" s="91"/>
      <c r="DT601" s="91"/>
      <c r="DU601" s="91"/>
      <c r="DV601" s="91"/>
      <c r="DW601" s="91"/>
      <c r="DX601" s="91"/>
      <c r="DY601" s="91"/>
    </row>
    <row r="602" spans="1:129" ht="15.75">
      <c r="A602" s="238"/>
      <c r="D602" s="192"/>
      <c r="E602" s="258"/>
      <c r="F602" s="193"/>
      <c r="G602" s="91"/>
      <c r="H602" s="91"/>
      <c r="I602" s="294"/>
      <c r="J602" s="193"/>
      <c r="K602" s="193"/>
      <c r="L602" s="193"/>
      <c r="M602" s="295"/>
      <c r="N602" s="91"/>
      <c r="O602" s="193"/>
      <c r="P602" s="356"/>
      <c r="Q602" s="91"/>
      <c r="R602" s="356"/>
      <c r="S602" s="357"/>
      <c r="T602" s="357"/>
      <c r="U602" s="357"/>
      <c r="V602" s="357"/>
      <c r="W602" s="357"/>
      <c r="X602" s="357"/>
      <c r="Y602" s="357"/>
      <c r="Z602" s="357"/>
      <c r="AA602" s="374"/>
      <c r="AB602" s="377"/>
      <c r="AC602" s="377"/>
      <c r="AD602" s="377"/>
      <c r="AE602" s="288"/>
      <c r="AF602" s="288"/>
      <c r="AG602" s="288"/>
      <c r="AH602" s="288"/>
      <c r="AI602" s="288"/>
      <c r="AJ602" s="288"/>
      <c r="AK602" s="374"/>
      <c r="AL602" s="91"/>
      <c r="AM602" s="376"/>
      <c r="AN602" s="376"/>
      <c r="AO602" s="286"/>
      <c r="AP602" s="286"/>
      <c r="AQ602" s="286"/>
      <c r="AR602" s="286"/>
      <c r="AS602" s="286"/>
      <c r="AT602" s="286"/>
      <c r="AU602" s="261"/>
      <c r="AV602" s="371"/>
      <c r="AW602" s="91"/>
      <c r="AX602" s="91"/>
      <c r="AY602" s="286"/>
      <c r="AZ602" s="286"/>
      <c r="BA602" s="286"/>
      <c r="BB602" s="286"/>
      <c r="BC602" s="286"/>
      <c r="BD602" s="286"/>
      <c r="BE602" s="261"/>
      <c r="BF602" s="261"/>
      <c r="BG602" s="261"/>
      <c r="BH602" s="261"/>
      <c r="BI602" s="261"/>
      <c r="BJ602" s="261"/>
      <c r="BK602" s="261"/>
      <c r="BL602" s="91"/>
      <c r="BM602" s="278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  <c r="BZ602" s="91"/>
      <c r="CA602" s="91"/>
      <c r="CB602" s="91"/>
      <c r="CC602" s="91"/>
      <c r="CD602" s="91"/>
      <c r="CE602" s="91"/>
      <c r="CF602" s="91"/>
      <c r="CG602" s="91"/>
      <c r="CH602" s="91"/>
      <c r="CI602" s="91"/>
      <c r="CJ602" s="91"/>
      <c r="CK602" s="91"/>
      <c r="CL602" s="91"/>
      <c r="CM602" s="91"/>
      <c r="CN602" s="91"/>
      <c r="CO602" s="91"/>
      <c r="CP602" s="91"/>
      <c r="CQ602" s="91"/>
      <c r="CR602" s="91"/>
      <c r="CS602" s="91"/>
      <c r="CT602" s="91"/>
      <c r="CU602" s="91"/>
      <c r="CV602" s="91"/>
      <c r="CW602" s="91"/>
      <c r="CX602" s="91"/>
      <c r="CY602" s="91"/>
      <c r="CZ602" s="91"/>
      <c r="DA602" s="91"/>
      <c r="DB602" s="91"/>
      <c r="DC602" s="91"/>
      <c r="DD602" s="91"/>
      <c r="DE602" s="91"/>
      <c r="DF602" s="91"/>
      <c r="DG602" s="91"/>
      <c r="DH602" s="91"/>
      <c r="DI602" s="91"/>
      <c r="DJ602" s="91"/>
      <c r="DK602" s="91"/>
      <c r="DL602" s="91"/>
      <c r="DM602" s="91"/>
      <c r="DN602" s="91"/>
      <c r="DO602" s="91"/>
      <c r="DP602" s="91"/>
      <c r="DQ602" s="91"/>
      <c r="DR602" s="91"/>
      <c r="DS602" s="91"/>
      <c r="DT602" s="91"/>
      <c r="DU602" s="91"/>
      <c r="DV602" s="91"/>
      <c r="DW602" s="91"/>
      <c r="DX602" s="91"/>
      <c r="DY602" s="91"/>
    </row>
    <row r="603" spans="1:129" ht="15.75">
      <c r="A603" s="238"/>
      <c r="D603" s="192"/>
      <c r="E603" s="258"/>
      <c r="F603" s="193"/>
      <c r="G603" s="91"/>
      <c r="H603" s="91"/>
      <c r="I603" s="294"/>
      <c r="J603" s="193"/>
      <c r="K603" s="193"/>
      <c r="L603" s="193"/>
      <c r="M603" s="295"/>
      <c r="N603" s="91"/>
      <c r="O603" s="193"/>
      <c r="P603" s="356"/>
      <c r="Q603" s="91"/>
      <c r="R603" s="356"/>
      <c r="S603" s="357"/>
      <c r="T603" s="357"/>
      <c r="U603" s="357"/>
      <c r="V603" s="357"/>
      <c r="W603" s="357"/>
      <c r="X603" s="357"/>
      <c r="Y603" s="357"/>
      <c r="Z603" s="357"/>
      <c r="AA603" s="374"/>
      <c r="AB603" s="377"/>
      <c r="AC603" s="377"/>
      <c r="AD603" s="377"/>
      <c r="AE603" s="288"/>
      <c r="AF603" s="288"/>
      <c r="AG603" s="288"/>
      <c r="AH603" s="288"/>
      <c r="AI603" s="288"/>
      <c r="AJ603" s="288"/>
      <c r="AK603" s="374"/>
      <c r="AL603" s="91"/>
      <c r="AM603" s="376"/>
      <c r="AN603" s="376"/>
      <c r="AO603" s="286"/>
      <c r="AP603" s="286"/>
      <c r="AQ603" s="286"/>
      <c r="AR603" s="286"/>
      <c r="AS603" s="286"/>
      <c r="AT603" s="286"/>
      <c r="AU603" s="261"/>
      <c r="AV603" s="371"/>
      <c r="AW603" s="91"/>
      <c r="AX603" s="91"/>
      <c r="AY603" s="286"/>
      <c r="AZ603" s="286"/>
      <c r="BA603" s="286"/>
      <c r="BB603" s="286"/>
      <c r="BC603" s="286"/>
      <c r="BD603" s="286"/>
      <c r="BE603" s="261"/>
      <c r="BF603" s="261"/>
      <c r="BG603" s="261"/>
      <c r="BH603" s="261"/>
      <c r="BI603" s="261"/>
      <c r="BJ603" s="261"/>
      <c r="BK603" s="261"/>
      <c r="BL603" s="91"/>
      <c r="BM603" s="278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  <c r="BZ603" s="91"/>
      <c r="CA603" s="91"/>
      <c r="CB603" s="91"/>
      <c r="CC603" s="91"/>
      <c r="CD603" s="91"/>
      <c r="CE603" s="91"/>
      <c r="CF603" s="91"/>
      <c r="CG603" s="91"/>
      <c r="CH603" s="91"/>
      <c r="CI603" s="91"/>
      <c r="CJ603" s="91"/>
      <c r="CK603" s="91"/>
      <c r="CL603" s="91"/>
      <c r="CM603" s="91"/>
      <c r="CN603" s="91"/>
      <c r="CO603" s="91"/>
      <c r="CP603" s="91"/>
      <c r="CQ603" s="91"/>
      <c r="CR603" s="91"/>
      <c r="CS603" s="91"/>
      <c r="CT603" s="91"/>
      <c r="CU603" s="91"/>
      <c r="CV603" s="91"/>
      <c r="CW603" s="91"/>
      <c r="CX603" s="91"/>
      <c r="CY603" s="91"/>
      <c r="CZ603" s="91"/>
      <c r="DA603" s="91"/>
      <c r="DB603" s="91"/>
      <c r="DC603" s="91"/>
      <c r="DD603" s="91"/>
      <c r="DE603" s="91"/>
      <c r="DF603" s="91"/>
      <c r="DG603" s="91"/>
      <c r="DH603" s="91"/>
      <c r="DI603" s="91"/>
      <c r="DJ603" s="91"/>
      <c r="DK603" s="91"/>
      <c r="DL603" s="91"/>
      <c r="DM603" s="91"/>
      <c r="DN603" s="91"/>
      <c r="DO603" s="91"/>
      <c r="DP603" s="91"/>
      <c r="DQ603" s="91"/>
      <c r="DR603" s="91"/>
      <c r="DS603" s="91"/>
      <c r="DT603" s="91"/>
      <c r="DU603" s="91"/>
      <c r="DV603" s="91"/>
      <c r="DW603" s="91"/>
      <c r="DX603" s="91"/>
      <c r="DY603" s="91"/>
    </row>
    <row r="604" spans="1:129" ht="15.75">
      <c r="A604" s="238"/>
      <c r="D604" s="192"/>
      <c r="E604" s="258"/>
      <c r="F604" s="193"/>
      <c r="G604" s="91"/>
      <c r="H604" s="91"/>
      <c r="I604" s="294"/>
      <c r="J604" s="193"/>
      <c r="K604" s="193"/>
      <c r="L604" s="193"/>
      <c r="M604" s="295"/>
      <c r="N604" s="91"/>
      <c r="O604" s="193"/>
      <c r="P604" s="356"/>
      <c r="Q604" s="91"/>
      <c r="R604" s="356"/>
      <c r="S604" s="357"/>
      <c r="T604" s="357"/>
      <c r="U604" s="357"/>
      <c r="V604" s="357"/>
      <c r="W604" s="357"/>
      <c r="X604" s="357"/>
      <c r="Y604" s="357"/>
      <c r="Z604" s="357"/>
      <c r="AA604" s="374"/>
      <c r="AB604" s="377"/>
      <c r="AC604" s="377"/>
      <c r="AD604" s="377"/>
      <c r="AE604" s="288"/>
      <c r="AF604" s="288"/>
      <c r="AG604" s="288"/>
      <c r="AH604" s="288"/>
      <c r="AI604" s="288"/>
      <c r="AJ604" s="288"/>
      <c r="AK604" s="374"/>
      <c r="AL604" s="91"/>
      <c r="AM604" s="376"/>
      <c r="AN604" s="376"/>
      <c r="AO604" s="286"/>
      <c r="AP604" s="286"/>
      <c r="AQ604" s="286"/>
      <c r="AR604" s="286"/>
      <c r="AS604" s="286"/>
      <c r="AT604" s="286"/>
      <c r="AU604" s="261"/>
      <c r="AV604" s="371"/>
      <c r="AW604" s="91"/>
      <c r="AX604" s="91"/>
      <c r="AY604" s="286"/>
      <c r="AZ604" s="286"/>
      <c r="BA604" s="286"/>
      <c r="BB604" s="286"/>
      <c r="BC604" s="286"/>
      <c r="BD604" s="286"/>
      <c r="BE604" s="261"/>
      <c r="BF604" s="261"/>
      <c r="BG604" s="261"/>
      <c r="BH604" s="261"/>
      <c r="BI604" s="261"/>
      <c r="BJ604" s="261"/>
      <c r="BK604" s="261"/>
      <c r="BL604" s="91"/>
      <c r="BM604" s="278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  <c r="BZ604" s="91"/>
      <c r="CA604" s="91"/>
      <c r="CB604" s="91"/>
      <c r="CC604" s="91"/>
      <c r="CD604" s="91"/>
      <c r="CE604" s="91"/>
      <c r="CF604" s="91"/>
      <c r="CG604" s="91"/>
      <c r="CH604" s="91"/>
      <c r="CI604" s="91"/>
      <c r="CJ604" s="91"/>
      <c r="CK604" s="91"/>
      <c r="CL604" s="91"/>
      <c r="CM604" s="91"/>
      <c r="CN604" s="91"/>
      <c r="CO604" s="91"/>
      <c r="CP604" s="91"/>
      <c r="CQ604" s="91"/>
      <c r="CR604" s="91"/>
      <c r="CS604" s="91"/>
      <c r="CT604" s="91"/>
      <c r="CU604" s="91"/>
      <c r="CV604" s="91"/>
      <c r="CW604" s="91"/>
      <c r="CX604" s="91"/>
      <c r="CY604" s="91"/>
      <c r="CZ604" s="91"/>
      <c r="DA604" s="91"/>
      <c r="DB604" s="91"/>
      <c r="DC604" s="91"/>
      <c r="DD604" s="91"/>
      <c r="DE604" s="91"/>
      <c r="DF604" s="91"/>
      <c r="DG604" s="91"/>
      <c r="DH604" s="91"/>
      <c r="DI604" s="91"/>
      <c r="DJ604" s="91"/>
      <c r="DK604" s="91"/>
      <c r="DL604" s="91"/>
      <c r="DM604" s="91"/>
      <c r="DN604" s="91"/>
      <c r="DO604" s="91"/>
      <c r="DP604" s="91"/>
      <c r="DQ604" s="91"/>
      <c r="DR604" s="91"/>
      <c r="DS604" s="91"/>
      <c r="DT604" s="91"/>
      <c r="DU604" s="91"/>
      <c r="DV604" s="91"/>
      <c r="DW604" s="91"/>
      <c r="DX604" s="91"/>
      <c r="DY604" s="91"/>
    </row>
    <row r="605" spans="1:129" ht="15.75">
      <c r="A605" s="238"/>
      <c r="D605" s="192"/>
      <c r="E605" s="258"/>
      <c r="F605" s="193"/>
      <c r="G605" s="91"/>
      <c r="H605" s="91"/>
      <c r="I605" s="294"/>
      <c r="J605" s="193"/>
      <c r="K605" s="193"/>
      <c r="L605" s="193"/>
      <c r="M605" s="295"/>
      <c r="N605" s="91"/>
      <c r="O605" s="193"/>
      <c r="P605" s="356"/>
      <c r="Q605" s="91"/>
      <c r="R605" s="356"/>
      <c r="S605" s="357"/>
      <c r="T605" s="357"/>
      <c r="U605" s="357"/>
      <c r="V605" s="357"/>
      <c r="W605" s="357"/>
      <c r="X605" s="357"/>
      <c r="Y605" s="357"/>
      <c r="Z605" s="357"/>
      <c r="AA605" s="374"/>
      <c r="AB605" s="377"/>
      <c r="AC605" s="377"/>
      <c r="AD605" s="377"/>
      <c r="AE605" s="288"/>
      <c r="AF605" s="288"/>
      <c r="AG605" s="288"/>
      <c r="AH605" s="288"/>
      <c r="AI605" s="288"/>
      <c r="AJ605" s="288"/>
      <c r="AK605" s="374"/>
      <c r="AL605" s="91"/>
      <c r="AM605" s="376"/>
      <c r="AN605" s="376"/>
      <c r="AO605" s="286"/>
      <c r="AP605" s="286"/>
      <c r="AQ605" s="286"/>
      <c r="AR605" s="286"/>
      <c r="AS605" s="286"/>
      <c r="AT605" s="286"/>
      <c r="AU605" s="261"/>
      <c r="AV605" s="371"/>
      <c r="AW605" s="91"/>
      <c r="AX605" s="91"/>
      <c r="AY605" s="286"/>
      <c r="AZ605" s="286"/>
      <c r="BA605" s="286"/>
      <c r="BB605" s="286"/>
      <c r="BC605" s="286"/>
      <c r="BD605" s="286"/>
      <c r="BE605" s="261"/>
      <c r="BF605" s="261"/>
      <c r="BG605" s="261"/>
      <c r="BH605" s="261"/>
      <c r="BI605" s="261"/>
      <c r="BJ605" s="261"/>
      <c r="BK605" s="261"/>
      <c r="BL605" s="91"/>
      <c r="BM605" s="278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  <c r="BZ605" s="91"/>
      <c r="CA605" s="91"/>
      <c r="CB605" s="91"/>
      <c r="CC605" s="91"/>
      <c r="CD605" s="91"/>
      <c r="CE605" s="91"/>
      <c r="CF605" s="91"/>
      <c r="CG605" s="91"/>
      <c r="CH605" s="91"/>
      <c r="CI605" s="91"/>
      <c r="CJ605" s="91"/>
      <c r="CK605" s="91"/>
      <c r="CL605" s="91"/>
      <c r="CM605" s="91"/>
      <c r="CN605" s="91"/>
      <c r="CO605" s="91"/>
      <c r="CP605" s="91"/>
      <c r="CQ605" s="91"/>
      <c r="CR605" s="91"/>
      <c r="CS605" s="91"/>
      <c r="CT605" s="91"/>
      <c r="CU605" s="91"/>
      <c r="CV605" s="91"/>
      <c r="CW605" s="91"/>
      <c r="CX605" s="91"/>
      <c r="CY605" s="91"/>
      <c r="CZ605" s="91"/>
      <c r="DA605" s="91"/>
      <c r="DB605" s="91"/>
      <c r="DC605" s="91"/>
      <c r="DD605" s="91"/>
      <c r="DE605" s="91"/>
      <c r="DF605" s="91"/>
      <c r="DG605" s="91"/>
      <c r="DH605" s="91"/>
      <c r="DI605" s="91"/>
      <c r="DJ605" s="91"/>
      <c r="DK605" s="91"/>
      <c r="DL605" s="91"/>
      <c r="DM605" s="91"/>
      <c r="DN605" s="91"/>
      <c r="DO605" s="91"/>
      <c r="DP605" s="91"/>
      <c r="DQ605" s="91"/>
      <c r="DR605" s="91"/>
      <c r="DS605" s="91"/>
      <c r="DT605" s="91"/>
      <c r="DU605" s="91"/>
      <c r="DV605" s="91"/>
      <c r="DW605" s="91"/>
      <c r="DX605" s="91"/>
      <c r="DY605" s="91"/>
    </row>
    <row r="606" spans="1:129" ht="15.75">
      <c r="A606" s="238"/>
      <c r="D606" s="192"/>
      <c r="E606" s="258"/>
      <c r="F606" s="193"/>
      <c r="G606" s="91"/>
      <c r="H606" s="91"/>
      <c r="I606" s="294"/>
      <c r="J606" s="193"/>
      <c r="K606" s="193"/>
      <c r="L606" s="193"/>
      <c r="M606" s="295"/>
      <c r="N606" s="91"/>
      <c r="O606" s="193"/>
      <c r="P606" s="356"/>
      <c r="Q606" s="91"/>
      <c r="R606" s="356"/>
      <c r="S606" s="357"/>
      <c r="T606" s="357"/>
      <c r="U606" s="357"/>
      <c r="V606" s="357"/>
      <c r="W606" s="357"/>
      <c r="X606" s="357"/>
      <c r="Y606" s="357"/>
      <c r="Z606" s="357"/>
      <c r="AA606" s="374"/>
      <c r="AB606" s="377"/>
      <c r="AC606" s="377"/>
      <c r="AD606" s="377"/>
      <c r="AE606" s="288"/>
      <c r="AF606" s="288"/>
      <c r="AG606" s="288"/>
      <c r="AH606" s="288"/>
      <c r="AI606" s="288"/>
      <c r="AJ606" s="288"/>
      <c r="AK606" s="374"/>
      <c r="AL606" s="91"/>
      <c r="AM606" s="376"/>
      <c r="AN606" s="376"/>
      <c r="AO606" s="286"/>
      <c r="AP606" s="286"/>
      <c r="AQ606" s="286"/>
      <c r="AR606" s="286"/>
      <c r="AS606" s="286"/>
      <c r="AT606" s="286"/>
      <c r="AU606" s="261"/>
      <c r="AV606" s="371"/>
      <c r="AW606" s="91"/>
      <c r="AX606" s="91"/>
      <c r="AY606" s="286"/>
      <c r="AZ606" s="286"/>
      <c r="BA606" s="286"/>
      <c r="BB606" s="286"/>
      <c r="BC606" s="286"/>
      <c r="BD606" s="286"/>
      <c r="BE606" s="261"/>
      <c r="BF606" s="261"/>
      <c r="BG606" s="261"/>
      <c r="BH606" s="261"/>
      <c r="BI606" s="261"/>
      <c r="BJ606" s="261"/>
      <c r="BK606" s="261"/>
      <c r="BL606" s="91"/>
      <c r="BM606" s="278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  <c r="BZ606" s="91"/>
      <c r="CA606" s="91"/>
      <c r="CB606" s="91"/>
      <c r="CC606" s="91"/>
      <c r="CD606" s="91"/>
      <c r="CE606" s="91"/>
      <c r="CF606" s="91"/>
      <c r="CG606" s="91"/>
      <c r="CH606" s="91"/>
      <c r="CI606" s="91"/>
      <c r="CJ606" s="91"/>
      <c r="CK606" s="91"/>
      <c r="CL606" s="91"/>
      <c r="CM606" s="91"/>
      <c r="CN606" s="91"/>
      <c r="CO606" s="91"/>
      <c r="CP606" s="91"/>
      <c r="CQ606" s="91"/>
      <c r="CR606" s="91"/>
      <c r="CS606" s="91"/>
      <c r="CT606" s="91"/>
      <c r="CU606" s="91"/>
      <c r="CV606" s="91"/>
      <c r="CW606" s="91"/>
      <c r="CX606" s="91"/>
      <c r="CY606" s="91"/>
      <c r="CZ606" s="91"/>
      <c r="DA606" s="91"/>
      <c r="DB606" s="91"/>
      <c r="DC606" s="91"/>
      <c r="DD606" s="91"/>
      <c r="DE606" s="91"/>
      <c r="DF606" s="91"/>
      <c r="DG606" s="91"/>
      <c r="DH606" s="91"/>
      <c r="DI606" s="91"/>
      <c r="DJ606" s="91"/>
      <c r="DK606" s="91"/>
      <c r="DL606" s="91"/>
      <c r="DM606" s="91"/>
      <c r="DN606" s="91"/>
      <c r="DO606" s="91"/>
      <c r="DP606" s="91"/>
      <c r="DQ606" s="91"/>
      <c r="DR606" s="91"/>
      <c r="DS606" s="91"/>
      <c r="DT606" s="91"/>
      <c r="DU606" s="91"/>
      <c r="DV606" s="91"/>
      <c r="DW606" s="91"/>
      <c r="DX606" s="91"/>
      <c r="DY606" s="91"/>
    </row>
    <row r="607" spans="1:129" ht="15.75">
      <c r="A607" s="238"/>
      <c r="D607" s="192"/>
      <c r="E607" s="258"/>
      <c r="F607" s="193"/>
      <c r="G607" s="91"/>
      <c r="H607" s="91"/>
      <c r="I607" s="294"/>
      <c r="J607" s="193"/>
      <c r="K607" s="193"/>
      <c r="L607" s="193"/>
      <c r="M607" s="295"/>
      <c r="N607" s="91"/>
      <c r="O607" s="193"/>
      <c r="P607" s="356"/>
      <c r="Q607" s="91"/>
      <c r="R607" s="356"/>
      <c r="S607" s="357"/>
      <c r="T607" s="357"/>
      <c r="U607" s="357"/>
      <c r="V607" s="357"/>
      <c r="W607" s="357"/>
      <c r="X607" s="357"/>
      <c r="Y607" s="357"/>
      <c r="Z607" s="357"/>
      <c r="AA607" s="374"/>
      <c r="AB607" s="377"/>
      <c r="AC607" s="377"/>
      <c r="AD607" s="377"/>
      <c r="AE607" s="288"/>
      <c r="AF607" s="288"/>
      <c r="AG607" s="288"/>
      <c r="AH607" s="288"/>
      <c r="AI607" s="288"/>
      <c r="AJ607" s="288"/>
      <c r="AK607" s="374"/>
      <c r="AL607" s="91"/>
      <c r="AM607" s="376"/>
      <c r="AN607" s="376"/>
      <c r="AO607" s="286"/>
      <c r="AP607" s="286"/>
      <c r="AQ607" s="286"/>
      <c r="AR607" s="286"/>
      <c r="AS607" s="286"/>
      <c r="AT607" s="286"/>
      <c r="AU607" s="261"/>
      <c r="AV607" s="371"/>
      <c r="AW607" s="91"/>
      <c r="AX607" s="91"/>
      <c r="AY607" s="286"/>
      <c r="AZ607" s="286"/>
      <c r="BA607" s="286"/>
      <c r="BB607" s="286"/>
      <c r="BC607" s="286"/>
      <c r="BD607" s="286"/>
      <c r="BE607" s="261"/>
      <c r="BF607" s="261"/>
      <c r="BG607" s="261"/>
      <c r="BH607" s="261"/>
      <c r="BI607" s="261"/>
      <c r="BJ607" s="261"/>
      <c r="BK607" s="261"/>
      <c r="BL607" s="91"/>
      <c r="BM607" s="278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  <c r="BZ607" s="91"/>
      <c r="CA607" s="91"/>
      <c r="CB607" s="91"/>
      <c r="CC607" s="91"/>
      <c r="CD607" s="91"/>
      <c r="CE607" s="91"/>
      <c r="CF607" s="91"/>
      <c r="CG607" s="91"/>
      <c r="CH607" s="91"/>
      <c r="CI607" s="91"/>
      <c r="CJ607" s="91"/>
      <c r="CK607" s="91"/>
      <c r="CL607" s="91"/>
      <c r="CM607" s="91"/>
      <c r="CN607" s="91"/>
      <c r="CO607" s="91"/>
      <c r="CP607" s="91"/>
      <c r="CQ607" s="91"/>
      <c r="CR607" s="91"/>
      <c r="CS607" s="91"/>
      <c r="CT607" s="91"/>
      <c r="CU607" s="91"/>
      <c r="CV607" s="91"/>
      <c r="CW607" s="91"/>
      <c r="CX607" s="91"/>
      <c r="CY607" s="91"/>
      <c r="CZ607" s="91"/>
      <c r="DA607" s="91"/>
      <c r="DB607" s="91"/>
      <c r="DC607" s="91"/>
      <c r="DD607" s="91"/>
      <c r="DE607" s="91"/>
      <c r="DF607" s="91"/>
      <c r="DG607" s="91"/>
      <c r="DH607" s="91"/>
      <c r="DI607" s="91"/>
      <c r="DJ607" s="91"/>
      <c r="DK607" s="91"/>
      <c r="DL607" s="91"/>
      <c r="DM607" s="91"/>
      <c r="DN607" s="91"/>
      <c r="DO607" s="91"/>
      <c r="DP607" s="91"/>
      <c r="DQ607" s="91"/>
      <c r="DR607" s="91"/>
      <c r="DS607" s="91"/>
      <c r="DT607" s="91"/>
      <c r="DU607" s="91"/>
      <c r="DV607" s="91"/>
      <c r="DW607" s="91"/>
      <c r="DX607" s="91"/>
      <c r="DY607" s="91"/>
    </row>
    <row r="608" spans="1:129" ht="15.75">
      <c r="A608" s="238"/>
      <c r="D608" s="192"/>
      <c r="E608" s="258"/>
      <c r="F608" s="193"/>
      <c r="G608" s="91"/>
      <c r="H608" s="91"/>
      <c r="I608" s="294"/>
      <c r="J608" s="193"/>
      <c r="K608" s="193"/>
      <c r="L608" s="193"/>
      <c r="M608" s="295"/>
      <c r="N608" s="91"/>
      <c r="O608" s="193"/>
      <c r="P608" s="356"/>
      <c r="Q608" s="91"/>
      <c r="R608" s="356"/>
      <c r="S608" s="357"/>
      <c r="T608" s="357"/>
      <c r="U608" s="357"/>
      <c r="V608" s="357"/>
      <c r="W608" s="357"/>
      <c r="X608" s="357"/>
      <c r="Y608" s="357"/>
      <c r="Z608" s="357"/>
      <c r="AA608" s="374"/>
      <c r="AB608" s="377"/>
      <c r="AC608" s="377"/>
      <c r="AD608" s="377"/>
      <c r="AE608" s="288"/>
      <c r="AF608" s="288"/>
      <c r="AG608" s="288"/>
      <c r="AH608" s="288"/>
      <c r="AI608" s="288"/>
      <c r="AJ608" s="288"/>
      <c r="AK608" s="374"/>
      <c r="AL608" s="91"/>
      <c r="AM608" s="376"/>
      <c r="AN608" s="376"/>
      <c r="AO608" s="286"/>
      <c r="AP608" s="286"/>
      <c r="AQ608" s="286"/>
      <c r="AR608" s="286"/>
      <c r="AS608" s="286"/>
      <c r="AT608" s="286"/>
      <c r="AU608" s="261"/>
      <c r="AV608" s="371"/>
      <c r="AW608" s="91"/>
      <c r="AX608" s="91"/>
      <c r="AY608" s="286"/>
      <c r="AZ608" s="286"/>
      <c r="BA608" s="286"/>
      <c r="BB608" s="286"/>
      <c r="BC608" s="286"/>
      <c r="BD608" s="286"/>
      <c r="BE608" s="261"/>
      <c r="BF608" s="261"/>
      <c r="BG608" s="261"/>
      <c r="BH608" s="261"/>
      <c r="BI608" s="261"/>
      <c r="BJ608" s="261"/>
      <c r="BK608" s="261"/>
      <c r="BL608" s="91"/>
      <c r="BM608" s="278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  <c r="BZ608" s="91"/>
      <c r="CA608" s="91"/>
      <c r="CB608" s="91"/>
      <c r="CC608" s="91"/>
      <c r="CD608" s="91"/>
      <c r="CE608" s="91"/>
      <c r="CF608" s="91"/>
      <c r="CG608" s="91"/>
      <c r="CH608" s="91"/>
      <c r="CI608" s="91"/>
      <c r="CJ608" s="91"/>
      <c r="CK608" s="91"/>
      <c r="CL608" s="91"/>
      <c r="CM608" s="91"/>
      <c r="CN608" s="91"/>
      <c r="CO608" s="91"/>
      <c r="CP608" s="91"/>
      <c r="CQ608" s="91"/>
      <c r="CR608" s="91"/>
      <c r="CS608" s="91"/>
      <c r="CT608" s="91"/>
      <c r="CU608" s="91"/>
      <c r="CV608" s="91"/>
      <c r="CW608" s="91"/>
      <c r="CX608" s="91"/>
      <c r="CY608" s="91"/>
      <c r="CZ608" s="91"/>
      <c r="DA608" s="91"/>
      <c r="DB608" s="91"/>
      <c r="DC608" s="91"/>
      <c r="DD608" s="91"/>
      <c r="DE608" s="91"/>
      <c r="DF608" s="91"/>
      <c r="DG608" s="91"/>
      <c r="DH608" s="91"/>
      <c r="DI608" s="91"/>
      <c r="DJ608" s="91"/>
      <c r="DK608" s="91"/>
      <c r="DL608" s="91"/>
      <c r="DM608" s="91"/>
      <c r="DN608" s="91"/>
      <c r="DO608" s="91"/>
      <c r="DP608" s="91"/>
      <c r="DQ608" s="91"/>
      <c r="DR608" s="91"/>
      <c r="DS608" s="91"/>
      <c r="DT608" s="91"/>
      <c r="DU608" s="91"/>
      <c r="DV608" s="91"/>
      <c r="DW608" s="91"/>
      <c r="DX608" s="91"/>
      <c r="DY608" s="91"/>
    </row>
    <row r="609" spans="1:129" ht="15.75">
      <c r="A609" s="238"/>
      <c r="D609" s="192"/>
      <c r="E609" s="258"/>
      <c r="F609" s="193"/>
      <c r="G609" s="91"/>
      <c r="H609" s="91"/>
      <c r="I609" s="294"/>
      <c r="J609" s="193"/>
      <c r="K609" s="193"/>
      <c r="L609" s="193"/>
      <c r="M609" s="295"/>
      <c r="N609" s="91"/>
      <c r="O609" s="193"/>
      <c r="P609" s="356"/>
      <c r="Q609" s="91"/>
      <c r="R609" s="356"/>
      <c r="S609" s="357"/>
      <c r="T609" s="357"/>
      <c r="U609" s="357"/>
      <c r="V609" s="357"/>
      <c r="W609" s="357"/>
      <c r="X609" s="357"/>
      <c r="Y609" s="357"/>
      <c r="Z609" s="357"/>
      <c r="AA609" s="374"/>
      <c r="AB609" s="377"/>
      <c r="AC609" s="377"/>
      <c r="AD609" s="377"/>
      <c r="AE609" s="288"/>
      <c r="AF609" s="288"/>
      <c r="AG609" s="288"/>
      <c r="AH609" s="288"/>
      <c r="AI609" s="288"/>
      <c r="AJ609" s="288"/>
      <c r="AK609" s="374"/>
      <c r="AL609" s="91"/>
      <c r="AM609" s="376"/>
      <c r="AN609" s="376"/>
      <c r="AO609" s="286"/>
      <c r="AP609" s="286"/>
      <c r="AQ609" s="286"/>
      <c r="AR609" s="286"/>
      <c r="AS609" s="286"/>
      <c r="AT609" s="286"/>
      <c r="AU609" s="261"/>
      <c r="AV609" s="371"/>
      <c r="AW609" s="91"/>
      <c r="AX609" s="91"/>
      <c r="AY609" s="286"/>
      <c r="AZ609" s="286"/>
      <c r="BA609" s="286"/>
      <c r="BB609" s="286"/>
      <c r="BC609" s="286"/>
      <c r="BD609" s="286"/>
      <c r="BE609" s="261"/>
      <c r="BF609" s="261"/>
      <c r="BG609" s="261"/>
      <c r="BH609" s="261"/>
      <c r="BI609" s="261"/>
      <c r="BJ609" s="261"/>
      <c r="BK609" s="261"/>
      <c r="BL609" s="91"/>
      <c r="BM609" s="278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  <c r="BZ609" s="91"/>
      <c r="CA609" s="91"/>
      <c r="CB609" s="91"/>
      <c r="CC609" s="91"/>
      <c r="CD609" s="91"/>
      <c r="CE609" s="91"/>
      <c r="CF609" s="91"/>
      <c r="CG609" s="91"/>
      <c r="CH609" s="91"/>
      <c r="CI609" s="91"/>
      <c r="CJ609" s="91"/>
      <c r="CK609" s="91"/>
      <c r="CL609" s="91"/>
      <c r="CM609" s="91"/>
      <c r="CN609" s="91"/>
      <c r="CO609" s="91"/>
      <c r="CP609" s="91"/>
      <c r="CQ609" s="91"/>
      <c r="CR609" s="91"/>
      <c r="CS609" s="91"/>
      <c r="CT609" s="91"/>
      <c r="CU609" s="91"/>
      <c r="CV609" s="91"/>
      <c r="CW609" s="91"/>
      <c r="CX609" s="91"/>
      <c r="CY609" s="91"/>
      <c r="CZ609" s="91"/>
      <c r="DA609" s="91"/>
      <c r="DB609" s="91"/>
      <c r="DC609" s="91"/>
      <c r="DD609" s="91"/>
      <c r="DE609" s="91"/>
      <c r="DF609" s="91"/>
      <c r="DG609" s="91"/>
      <c r="DH609" s="91"/>
      <c r="DI609" s="91"/>
      <c r="DJ609" s="91"/>
      <c r="DK609" s="91"/>
      <c r="DL609" s="91"/>
      <c r="DM609" s="91"/>
      <c r="DN609" s="91"/>
      <c r="DO609" s="91"/>
      <c r="DP609" s="91"/>
      <c r="DQ609" s="91"/>
      <c r="DR609" s="91"/>
      <c r="DS609" s="91"/>
      <c r="DT609" s="91"/>
      <c r="DU609" s="91"/>
      <c r="DV609" s="91"/>
      <c r="DW609" s="91"/>
      <c r="DX609" s="91"/>
      <c r="DY609" s="91"/>
    </row>
    <row r="610" spans="1:129" ht="15.75">
      <c r="A610" s="238"/>
      <c r="D610" s="192"/>
      <c r="E610" s="258"/>
      <c r="F610" s="193"/>
      <c r="G610" s="91"/>
      <c r="H610" s="91"/>
      <c r="I610" s="294"/>
      <c r="J610" s="193"/>
      <c r="K610" s="193"/>
      <c r="L610" s="193"/>
      <c r="M610" s="295"/>
      <c r="N610" s="91"/>
      <c r="O610" s="193"/>
      <c r="P610" s="356"/>
      <c r="Q610" s="91"/>
      <c r="R610" s="356"/>
      <c r="S610" s="357"/>
      <c r="T610" s="357"/>
      <c r="U610" s="357"/>
      <c r="V610" s="357"/>
      <c r="W610" s="357"/>
      <c r="X610" s="357"/>
      <c r="Y610" s="357"/>
      <c r="Z610" s="357"/>
      <c r="AA610" s="374"/>
      <c r="AB610" s="377"/>
      <c r="AC610" s="377"/>
      <c r="AD610" s="377"/>
      <c r="AE610" s="288"/>
      <c r="AF610" s="288"/>
      <c r="AG610" s="288"/>
      <c r="AH610" s="288"/>
      <c r="AI610" s="288"/>
      <c r="AJ610" s="288"/>
      <c r="AK610" s="374"/>
      <c r="AL610" s="91"/>
      <c r="AM610" s="376"/>
      <c r="AN610" s="376"/>
      <c r="AO610" s="286"/>
      <c r="AP610" s="286"/>
      <c r="AQ610" s="286"/>
      <c r="AR610" s="286"/>
      <c r="AS610" s="286"/>
      <c r="AT610" s="286"/>
      <c r="AU610" s="261"/>
      <c r="AV610" s="371"/>
      <c r="AW610" s="91"/>
      <c r="AX610" s="91"/>
      <c r="AY610" s="286"/>
      <c r="AZ610" s="286"/>
      <c r="BA610" s="286"/>
      <c r="BB610" s="286"/>
      <c r="BC610" s="286"/>
      <c r="BD610" s="286"/>
      <c r="BE610" s="261"/>
      <c r="BF610" s="261"/>
      <c r="BG610" s="261"/>
      <c r="BH610" s="261"/>
      <c r="BI610" s="261"/>
      <c r="BJ610" s="261"/>
      <c r="BK610" s="261"/>
      <c r="BL610" s="91"/>
      <c r="BM610" s="278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  <c r="BZ610" s="91"/>
      <c r="CA610" s="91"/>
      <c r="CB610" s="91"/>
      <c r="CC610" s="91"/>
      <c r="CD610" s="91"/>
      <c r="CE610" s="91"/>
      <c r="CF610" s="91"/>
      <c r="CG610" s="91"/>
      <c r="CH610" s="91"/>
      <c r="CI610" s="91"/>
      <c r="CJ610" s="91"/>
      <c r="CK610" s="91"/>
      <c r="CL610" s="91"/>
      <c r="CM610" s="91"/>
      <c r="CN610" s="91"/>
      <c r="CO610" s="91"/>
      <c r="CP610" s="91"/>
      <c r="CQ610" s="91"/>
      <c r="CR610" s="91"/>
      <c r="CS610" s="91"/>
      <c r="CT610" s="91"/>
      <c r="CU610" s="91"/>
      <c r="CV610" s="91"/>
      <c r="CW610" s="91"/>
      <c r="CX610" s="91"/>
      <c r="CY610" s="91"/>
      <c r="CZ610" s="91"/>
      <c r="DA610" s="91"/>
      <c r="DB610" s="91"/>
      <c r="DC610" s="91"/>
      <c r="DD610" s="91"/>
      <c r="DE610" s="91"/>
      <c r="DF610" s="91"/>
      <c r="DG610" s="91"/>
      <c r="DH610" s="91"/>
      <c r="DI610" s="91"/>
      <c r="DJ610" s="91"/>
      <c r="DK610" s="91"/>
      <c r="DL610" s="91"/>
      <c r="DM610" s="91"/>
      <c r="DN610" s="91"/>
      <c r="DO610" s="91"/>
      <c r="DP610" s="91"/>
      <c r="DQ610" s="91"/>
      <c r="DR610" s="91"/>
      <c r="DS610" s="91"/>
      <c r="DT610" s="91"/>
      <c r="DU610" s="91"/>
      <c r="DV610" s="91"/>
      <c r="DW610" s="91"/>
      <c r="DX610" s="91"/>
      <c r="DY610" s="91"/>
    </row>
    <row r="611" spans="1:129" ht="15.75">
      <c r="A611" s="238"/>
      <c r="D611" s="192"/>
      <c r="E611" s="258"/>
      <c r="F611" s="193"/>
      <c r="G611" s="91"/>
      <c r="H611" s="91"/>
      <c r="I611" s="294"/>
      <c r="J611" s="193"/>
      <c r="K611" s="193"/>
      <c r="L611" s="193"/>
      <c r="M611" s="295"/>
      <c r="N611" s="91"/>
      <c r="O611" s="193"/>
      <c r="P611" s="356"/>
      <c r="Q611" s="91"/>
      <c r="R611" s="356"/>
      <c r="S611" s="357"/>
      <c r="T611" s="357"/>
      <c r="U611" s="357"/>
      <c r="V611" s="357"/>
      <c r="W611" s="357"/>
      <c r="X611" s="357"/>
      <c r="Y611" s="357"/>
      <c r="Z611" s="357"/>
      <c r="AA611" s="374"/>
      <c r="AB611" s="377"/>
      <c r="AC611" s="377"/>
      <c r="AD611" s="377"/>
      <c r="AE611" s="288"/>
      <c r="AF611" s="288"/>
      <c r="AG611" s="288"/>
      <c r="AH611" s="288"/>
      <c r="AI611" s="288"/>
      <c r="AJ611" s="288"/>
      <c r="AK611" s="374"/>
      <c r="AL611" s="91"/>
      <c r="AM611" s="376"/>
      <c r="AN611" s="376"/>
      <c r="AO611" s="286"/>
      <c r="AP611" s="286"/>
      <c r="AQ611" s="286"/>
      <c r="AR611" s="286"/>
      <c r="AS611" s="286"/>
      <c r="AT611" s="286"/>
      <c r="AU611" s="261"/>
      <c r="AV611" s="371"/>
      <c r="AW611" s="91"/>
      <c r="AX611" s="91"/>
      <c r="AY611" s="286"/>
      <c r="AZ611" s="286"/>
      <c r="BA611" s="286"/>
      <c r="BB611" s="286"/>
      <c r="BC611" s="286"/>
      <c r="BD611" s="286"/>
      <c r="BE611" s="261"/>
      <c r="BF611" s="261"/>
      <c r="BG611" s="261"/>
      <c r="BH611" s="261"/>
      <c r="BI611" s="261"/>
      <c r="BJ611" s="261"/>
      <c r="BK611" s="261"/>
      <c r="BL611" s="91"/>
      <c r="BM611" s="278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  <c r="BZ611" s="91"/>
      <c r="CA611" s="91"/>
      <c r="CB611" s="91"/>
      <c r="CC611" s="91"/>
      <c r="CD611" s="91"/>
      <c r="CE611" s="91"/>
      <c r="CF611" s="91"/>
      <c r="CG611" s="91"/>
      <c r="CH611" s="91"/>
      <c r="CI611" s="91"/>
      <c r="CJ611" s="91"/>
      <c r="CK611" s="91"/>
      <c r="CL611" s="91"/>
      <c r="CM611" s="91"/>
      <c r="CN611" s="91"/>
      <c r="CO611" s="91"/>
      <c r="CP611" s="91"/>
      <c r="CQ611" s="91"/>
      <c r="CR611" s="91"/>
      <c r="CS611" s="91"/>
      <c r="CT611" s="91"/>
      <c r="CU611" s="91"/>
      <c r="CV611" s="91"/>
      <c r="CW611" s="91"/>
      <c r="CX611" s="91"/>
      <c r="CY611" s="91"/>
      <c r="CZ611" s="91"/>
      <c r="DA611" s="91"/>
      <c r="DB611" s="91"/>
      <c r="DC611" s="91"/>
      <c r="DD611" s="91"/>
      <c r="DE611" s="91"/>
      <c r="DF611" s="91"/>
      <c r="DG611" s="91"/>
      <c r="DH611" s="91"/>
      <c r="DI611" s="91"/>
      <c r="DJ611" s="91"/>
      <c r="DK611" s="91"/>
      <c r="DL611" s="91"/>
      <c r="DM611" s="91"/>
      <c r="DN611" s="91"/>
      <c r="DO611" s="91"/>
      <c r="DP611" s="91"/>
      <c r="DQ611" s="91"/>
      <c r="DR611" s="91"/>
      <c r="DS611" s="91"/>
      <c r="DT611" s="91"/>
      <c r="DU611" s="91"/>
      <c r="DV611" s="91"/>
      <c r="DW611" s="91"/>
      <c r="DX611" s="91"/>
      <c r="DY611" s="91"/>
    </row>
    <row r="612" spans="1:129" ht="15.75">
      <c r="A612" s="238"/>
      <c r="D612" s="192"/>
      <c r="E612" s="258"/>
      <c r="F612" s="193"/>
      <c r="G612" s="91"/>
      <c r="H612" s="91"/>
      <c r="I612" s="294"/>
      <c r="J612" s="193"/>
      <c r="K612" s="193"/>
      <c r="L612" s="193"/>
      <c r="M612" s="295"/>
      <c r="N612" s="91"/>
      <c r="O612" s="193"/>
      <c r="P612" s="356"/>
      <c r="Q612" s="91"/>
      <c r="R612" s="356"/>
      <c r="S612" s="357"/>
      <c r="T612" s="357"/>
      <c r="U612" s="357"/>
      <c r="V612" s="357"/>
      <c r="W612" s="357"/>
      <c r="X612" s="357"/>
      <c r="Y612" s="357"/>
      <c r="Z612" s="357"/>
      <c r="AA612" s="374"/>
      <c r="AB612" s="377"/>
      <c r="AC612" s="377"/>
      <c r="AD612" s="377"/>
      <c r="AE612" s="288"/>
      <c r="AF612" s="288"/>
      <c r="AG612" s="288"/>
      <c r="AH612" s="288"/>
      <c r="AI612" s="288"/>
      <c r="AJ612" s="288"/>
      <c r="AK612" s="374"/>
      <c r="AL612" s="91"/>
      <c r="AM612" s="376"/>
      <c r="AN612" s="376"/>
      <c r="AO612" s="286"/>
      <c r="AP612" s="286"/>
      <c r="AQ612" s="286"/>
      <c r="AR612" s="286"/>
      <c r="AS612" s="286"/>
      <c r="AT612" s="286"/>
      <c r="AU612" s="261"/>
      <c r="AV612" s="371"/>
      <c r="AW612" s="91"/>
      <c r="AX612" s="91"/>
      <c r="AY612" s="286"/>
      <c r="AZ612" s="286"/>
      <c r="BA612" s="286"/>
      <c r="BB612" s="286"/>
      <c r="BC612" s="286"/>
      <c r="BD612" s="286"/>
      <c r="BE612" s="261"/>
      <c r="BF612" s="261"/>
      <c r="BG612" s="261"/>
      <c r="BH612" s="261"/>
      <c r="BI612" s="261"/>
      <c r="BJ612" s="261"/>
      <c r="BK612" s="261"/>
      <c r="BL612" s="91"/>
      <c r="BM612" s="278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  <c r="BZ612" s="91"/>
      <c r="CA612" s="91"/>
      <c r="CB612" s="91"/>
      <c r="CC612" s="91"/>
      <c r="CD612" s="91"/>
      <c r="CE612" s="91"/>
      <c r="CF612" s="91"/>
      <c r="CG612" s="91"/>
      <c r="CH612" s="91"/>
      <c r="CI612" s="91"/>
      <c r="CJ612" s="91"/>
      <c r="CK612" s="91"/>
      <c r="CL612" s="91"/>
      <c r="CM612" s="91"/>
      <c r="CN612" s="91"/>
      <c r="CO612" s="91"/>
      <c r="CP612" s="91"/>
      <c r="CQ612" s="91"/>
      <c r="CR612" s="91"/>
      <c r="CS612" s="91"/>
      <c r="CT612" s="91"/>
      <c r="CU612" s="91"/>
      <c r="CV612" s="91"/>
      <c r="CW612" s="91"/>
      <c r="CX612" s="91"/>
      <c r="CY612" s="91"/>
      <c r="CZ612" s="91"/>
      <c r="DA612" s="91"/>
      <c r="DB612" s="91"/>
      <c r="DC612" s="91"/>
      <c r="DD612" s="91"/>
      <c r="DE612" s="91"/>
      <c r="DF612" s="91"/>
      <c r="DG612" s="91"/>
      <c r="DH612" s="91"/>
      <c r="DI612" s="91"/>
      <c r="DJ612" s="91"/>
      <c r="DK612" s="91"/>
      <c r="DL612" s="91"/>
      <c r="DM612" s="91"/>
      <c r="DN612" s="91"/>
      <c r="DO612" s="91"/>
      <c r="DP612" s="91"/>
      <c r="DQ612" s="91"/>
      <c r="DR612" s="91"/>
      <c r="DS612" s="91"/>
      <c r="DT612" s="91"/>
      <c r="DU612" s="91"/>
      <c r="DV612" s="91"/>
      <c r="DW612" s="91"/>
      <c r="DX612" s="91"/>
      <c r="DY612" s="91"/>
    </row>
    <row r="613" spans="1:129" ht="15.75">
      <c r="A613" s="238"/>
      <c r="D613" s="192"/>
      <c r="E613" s="258"/>
      <c r="F613" s="193"/>
      <c r="G613" s="91"/>
      <c r="H613" s="91"/>
      <c r="I613" s="294"/>
      <c r="J613" s="193"/>
      <c r="K613" s="193"/>
      <c r="L613" s="193"/>
      <c r="M613" s="295"/>
      <c r="N613" s="91"/>
      <c r="O613" s="193"/>
      <c r="P613" s="356"/>
      <c r="Q613" s="91"/>
      <c r="R613" s="356"/>
      <c r="S613" s="357"/>
      <c r="T613" s="357"/>
      <c r="U613" s="357"/>
      <c r="V613" s="357"/>
      <c r="W613" s="357"/>
      <c r="X613" s="357"/>
      <c r="Y613" s="357"/>
      <c r="Z613" s="357"/>
      <c r="AA613" s="374"/>
      <c r="AB613" s="377"/>
      <c r="AC613" s="377"/>
      <c r="AD613" s="377"/>
      <c r="AE613" s="288"/>
      <c r="AF613" s="288"/>
      <c r="AG613" s="288"/>
      <c r="AH613" s="288"/>
      <c r="AI613" s="288"/>
      <c r="AJ613" s="288"/>
      <c r="AK613" s="374"/>
      <c r="AL613" s="91"/>
      <c r="AM613" s="376"/>
      <c r="AN613" s="376"/>
      <c r="AO613" s="286"/>
      <c r="AP613" s="286"/>
      <c r="AQ613" s="286"/>
      <c r="AR613" s="286"/>
      <c r="AS613" s="286"/>
      <c r="AT613" s="286"/>
      <c r="AU613" s="261"/>
      <c r="AV613" s="371"/>
      <c r="AW613" s="91"/>
      <c r="AX613" s="91"/>
      <c r="AY613" s="286"/>
      <c r="AZ613" s="286"/>
      <c r="BA613" s="286"/>
      <c r="BB613" s="286"/>
      <c r="BC613" s="286"/>
      <c r="BD613" s="286"/>
      <c r="BE613" s="261"/>
      <c r="BF613" s="261"/>
      <c r="BG613" s="261"/>
      <c r="BH613" s="261"/>
      <c r="BI613" s="261"/>
      <c r="BJ613" s="261"/>
      <c r="BK613" s="261"/>
      <c r="BL613" s="91"/>
      <c r="BM613" s="278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  <c r="BZ613" s="91"/>
      <c r="CA613" s="91"/>
      <c r="CB613" s="91"/>
      <c r="CC613" s="91"/>
      <c r="CD613" s="91"/>
      <c r="CE613" s="91"/>
      <c r="CF613" s="91"/>
      <c r="CG613" s="91"/>
      <c r="CH613" s="91"/>
      <c r="CI613" s="91"/>
      <c r="CJ613" s="91"/>
      <c r="CK613" s="91"/>
      <c r="CL613" s="91"/>
      <c r="CM613" s="91"/>
      <c r="CN613" s="91"/>
      <c r="CO613" s="91"/>
      <c r="CP613" s="91"/>
      <c r="CQ613" s="91"/>
      <c r="CR613" s="91"/>
      <c r="CS613" s="91"/>
      <c r="CT613" s="91"/>
      <c r="CU613" s="91"/>
      <c r="CV613" s="91"/>
      <c r="CW613" s="91"/>
      <c r="CX613" s="91"/>
      <c r="CY613" s="91"/>
      <c r="CZ613" s="91"/>
      <c r="DA613" s="91"/>
      <c r="DB613" s="91"/>
      <c r="DC613" s="91"/>
      <c r="DD613" s="91"/>
      <c r="DE613" s="91"/>
      <c r="DF613" s="91"/>
      <c r="DG613" s="91"/>
      <c r="DH613" s="91"/>
      <c r="DI613" s="91"/>
      <c r="DJ613" s="91"/>
      <c r="DK613" s="91"/>
      <c r="DL613" s="91"/>
      <c r="DM613" s="91"/>
      <c r="DN613" s="91"/>
      <c r="DO613" s="91"/>
      <c r="DP613" s="91"/>
      <c r="DQ613" s="91"/>
      <c r="DR613" s="91"/>
      <c r="DS613" s="91"/>
      <c r="DT613" s="91"/>
      <c r="DU613" s="91"/>
      <c r="DV613" s="91"/>
      <c r="DW613" s="91"/>
      <c r="DX613" s="91"/>
      <c r="DY613" s="91"/>
    </row>
    <row r="614" spans="1:129" ht="15.75">
      <c r="A614" s="238"/>
      <c r="D614" s="192"/>
      <c r="E614" s="258"/>
      <c r="F614" s="193"/>
      <c r="G614" s="91"/>
      <c r="H614" s="91"/>
      <c r="I614" s="294"/>
      <c r="J614" s="193"/>
      <c r="K614" s="193"/>
      <c r="L614" s="193"/>
      <c r="M614" s="295"/>
      <c r="N614" s="91"/>
      <c r="O614" s="193"/>
      <c r="P614" s="356"/>
      <c r="Q614" s="91"/>
      <c r="R614" s="356"/>
      <c r="S614" s="357"/>
      <c r="T614" s="357"/>
      <c r="U614" s="357"/>
      <c r="V614" s="357"/>
      <c r="W614" s="357"/>
      <c r="X614" s="357"/>
      <c r="Y614" s="357"/>
      <c r="Z614" s="357"/>
      <c r="AA614" s="374"/>
      <c r="AB614" s="377"/>
      <c r="AC614" s="377"/>
      <c r="AD614" s="377"/>
      <c r="AE614" s="288"/>
      <c r="AF614" s="288"/>
      <c r="AG614" s="288"/>
      <c r="AH614" s="288"/>
      <c r="AI614" s="288"/>
      <c r="AJ614" s="288"/>
      <c r="AK614" s="374"/>
      <c r="AL614" s="91"/>
      <c r="AM614" s="376"/>
      <c r="AN614" s="376"/>
      <c r="AO614" s="286"/>
      <c r="AP614" s="286"/>
      <c r="AQ614" s="286"/>
      <c r="AR614" s="286"/>
      <c r="AS614" s="286"/>
      <c r="AT614" s="286"/>
      <c r="AU614" s="261"/>
      <c r="AV614" s="371"/>
      <c r="AW614" s="91"/>
      <c r="AX614" s="91"/>
      <c r="AY614" s="286"/>
      <c r="AZ614" s="286"/>
      <c r="BA614" s="286"/>
      <c r="BB614" s="286"/>
      <c r="BC614" s="286"/>
      <c r="BD614" s="286"/>
      <c r="BE614" s="261"/>
      <c r="BF614" s="261"/>
      <c r="BG614" s="261"/>
      <c r="BH614" s="261"/>
      <c r="BI614" s="261"/>
      <c r="BJ614" s="261"/>
      <c r="BK614" s="261"/>
      <c r="BL614" s="91"/>
      <c r="BM614" s="278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  <c r="BZ614" s="91"/>
      <c r="CA614" s="91"/>
      <c r="CB614" s="91"/>
      <c r="CC614" s="91"/>
      <c r="CD614" s="91"/>
      <c r="CE614" s="91"/>
      <c r="CF614" s="91"/>
      <c r="CG614" s="91"/>
      <c r="CH614" s="91"/>
      <c r="CI614" s="91"/>
      <c r="CJ614" s="91"/>
      <c r="CK614" s="91"/>
      <c r="CL614" s="91"/>
      <c r="CM614" s="91"/>
      <c r="CN614" s="91"/>
      <c r="CO614" s="91"/>
      <c r="CP614" s="91"/>
      <c r="CQ614" s="91"/>
      <c r="CR614" s="91"/>
      <c r="CS614" s="91"/>
      <c r="CT614" s="91"/>
      <c r="CU614" s="91"/>
      <c r="CV614" s="91"/>
      <c r="CW614" s="91"/>
      <c r="CX614" s="91"/>
      <c r="CY614" s="91"/>
      <c r="CZ614" s="91"/>
      <c r="DA614" s="91"/>
      <c r="DB614" s="91"/>
      <c r="DC614" s="91"/>
      <c r="DD614" s="91"/>
      <c r="DE614" s="91"/>
      <c r="DF614" s="91"/>
      <c r="DG614" s="91"/>
      <c r="DH614" s="91"/>
      <c r="DI614" s="91"/>
      <c r="DJ614" s="91"/>
      <c r="DK614" s="91"/>
      <c r="DL614" s="91"/>
      <c r="DM614" s="91"/>
      <c r="DN614" s="91"/>
      <c r="DO614" s="91"/>
      <c r="DP614" s="91"/>
      <c r="DQ614" s="91"/>
      <c r="DR614" s="91"/>
      <c r="DS614" s="91"/>
      <c r="DT614" s="91"/>
      <c r="DU614" s="91"/>
      <c r="DV614" s="91"/>
      <c r="DW614" s="91"/>
      <c r="DX614" s="91"/>
      <c r="DY614" s="91"/>
    </row>
    <row r="615" spans="1:129" ht="15.75">
      <c r="A615" s="238"/>
      <c r="D615" s="192"/>
      <c r="E615" s="258"/>
      <c r="F615" s="193"/>
      <c r="G615" s="91"/>
      <c r="H615" s="91"/>
      <c r="I615" s="294"/>
      <c r="J615" s="193"/>
      <c r="K615" s="193"/>
      <c r="L615" s="193"/>
      <c r="M615" s="295"/>
      <c r="N615" s="91"/>
      <c r="O615" s="193"/>
      <c r="P615" s="356"/>
      <c r="Q615" s="91"/>
      <c r="R615" s="356"/>
      <c r="S615" s="357"/>
      <c r="T615" s="357"/>
      <c r="U615" s="357"/>
      <c r="V615" s="357"/>
      <c r="W615" s="357"/>
      <c r="X615" s="357"/>
      <c r="Y615" s="357"/>
      <c r="Z615" s="357"/>
      <c r="AA615" s="374"/>
      <c r="AB615" s="377"/>
      <c r="AC615" s="377"/>
      <c r="AD615" s="377"/>
      <c r="AE615" s="288"/>
      <c r="AF615" s="288"/>
      <c r="AG615" s="288"/>
      <c r="AH615" s="288"/>
      <c r="AI615" s="288"/>
      <c r="AJ615" s="288"/>
      <c r="AK615" s="374"/>
      <c r="AL615" s="91"/>
      <c r="AM615" s="376"/>
      <c r="AN615" s="376"/>
      <c r="AO615" s="286"/>
      <c r="AP615" s="286"/>
      <c r="AQ615" s="286"/>
      <c r="AR615" s="286"/>
      <c r="AS615" s="286"/>
      <c r="AT615" s="286"/>
      <c r="AU615" s="261"/>
      <c r="AV615" s="371"/>
      <c r="AW615" s="91"/>
      <c r="AX615" s="91"/>
      <c r="AY615" s="286"/>
      <c r="AZ615" s="286"/>
      <c r="BA615" s="286"/>
      <c r="BB615" s="286"/>
      <c r="BC615" s="286"/>
      <c r="BD615" s="286"/>
      <c r="BE615" s="261"/>
      <c r="BF615" s="261"/>
      <c r="BG615" s="261"/>
      <c r="BH615" s="261"/>
      <c r="BI615" s="261"/>
      <c r="BJ615" s="261"/>
      <c r="BK615" s="261"/>
      <c r="BL615" s="91"/>
      <c r="BM615" s="278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  <c r="BZ615" s="91"/>
      <c r="CA615" s="91"/>
      <c r="CB615" s="91"/>
      <c r="CC615" s="91"/>
      <c r="CD615" s="91"/>
      <c r="CE615" s="91"/>
      <c r="CF615" s="91"/>
      <c r="CG615" s="91"/>
      <c r="CH615" s="91"/>
      <c r="CI615" s="91"/>
      <c r="CJ615" s="91"/>
      <c r="CK615" s="91"/>
      <c r="CL615" s="91"/>
      <c r="CM615" s="91"/>
      <c r="CN615" s="91"/>
      <c r="CO615" s="91"/>
      <c r="CP615" s="91"/>
      <c r="CQ615" s="91"/>
      <c r="CR615" s="91"/>
      <c r="CS615" s="91"/>
      <c r="CT615" s="91"/>
      <c r="CU615" s="91"/>
      <c r="CV615" s="91"/>
      <c r="CW615" s="91"/>
      <c r="CX615" s="91"/>
      <c r="CY615" s="91"/>
      <c r="CZ615" s="91"/>
      <c r="DA615" s="91"/>
      <c r="DB615" s="91"/>
      <c r="DC615" s="91"/>
      <c r="DD615" s="91"/>
      <c r="DE615" s="91"/>
      <c r="DF615" s="91"/>
      <c r="DG615" s="91"/>
      <c r="DH615" s="91"/>
      <c r="DI615" s="91"/>
      <c r="DJ615" s="91"/>
      <c r="DK615" s="91"/>
      <c r="DL615" s="91"/>
      <c r="DM615" s="91"/>
      <c r="DN615" s="91"/>
      <c r="DO615" s="91"/>
      <c r="DP615" s="91"/>
      <c r="DQ615" s="91"/>
      <c r="DR615" s="91"/>
      <c r="DS615" s="91"/>
      <c r="DT615" s="91"/>
      <c r="DU615" s="91"/>
      <c r="DV615" s="91"/>
      <c r="DW615" s="91"/>
      <c r="DX615" s="91"/>
      <c r="DY615" s="91"/>
    </row>
    <row r="616" spans="1:129" ht="15.75">
      <c r="A616" s="238"/>
      <c r="D616" s="192"/>
      <c r="E616" s="258"/>
      <c r="F616" s="193"/>
      <c r="G616" s="91"/>
      <c r="H616" s="91"/>
      <c r="I616" s="294"/>
      <c r="J616" s="193"/>
      <c r="K616" s="193"/>
      <c r="L616" s="193"/>
      <c r="M616" s="295"/>
      <c r="N616" s="91"/>
      <c r="O616" s="193"/>
      <c r="P616" s="356"/>
      <c r="Q616" s="91"/>
      <c r="R616" s="356"/>
      <c r="S616" s="357"/>
      <c r="T616" s="357"/>
      <c r="U616" s="357"/>
      <c r="V616" s="357"/>
      <c r="W616" s="357"/>
      <c r="X616" s="357"/>
      <c r="Y616" s="357"/>
      <c r="Z616" s="357"/>
      <c r="AA616" s="374"/>
      <c r="AB616" s="377"/>
      <c r="AC616" s="377"/>
      <c r="AD616" s="377"/>
      <c r="AE616" s="288"/>
      <c r="AF616" s="288"/>
      <c r="AG616" s="288"/>
      <c r="AH616" s="288"/>
      <c r="AI616" s="288"/>
      <c r="AJ616" s="288"/>
      <c r="AK616" s="374"/>
      <c r="AL616" s="91"/>
      <c r="AM616" s="376"/>
      <c r="AN616" s="376"/>
      <c r="AO616" s="286"/>
      <c r="AP616" s="286"/>
      <c r="AQ616" s="286"/>
      <c r="AR616" s="286"/>
      <c r="AS616" s="286"/>
      <c r="AT616" s="286"/>
      <c r="AU616" s="261"/>
      <c r="AV616" s="371"/>
      <c r="AW616" s="91"/>
      <c r="AX616" s="91"/>
      <c r="AY616" s="286"/>
      <c r="AZ616" s="286"/>
      <c r="BA616" s="286"/>
      <c r="BB616" s="286"/>
      <c r="BC616" s="286"/>
      <c r="BD616" s="286"/>
      <c r="BE616" s="261"/>
      <c r="BF616" s="261"/>
      <c r="BG616" s="261"/>
      <c r="BH616" s="261"/>
      <c r="BI616" s="261"/>
      <c r="BJ616" s="261"/>
      <c r="BK616" s="261"/>
      <c r="BL616" s="91"/>
      <c r="BM616" s="278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  <c r="BZ616" s="91"/>
      <c r="CA616" s="91"/>
      <c r="CB616" s="91"/>
      <c r="CC616" s="91"/>
      <c r="CD616" s="91"/>
      <c r="CE616" s="91"/>
      <c r="CF616" s="91"/>
      <c r="CG616" s="91"/>
      <c r="CH616" s="91"/>
      <c r="CI616" s="91"/>
      <c r="CJ616" s="91"/>
      <c r="CK616" s="91"/>
      <c r="CL616" s="91"/>
      <c r="CM616" s="91"/>
      <c r="CN616" s="91"/>
      <c r="CO616" s="91"/>
      <c r="CP616" s="91"/>
      <c r="CQ616" s="91"/>
      <c r="CR616" s="91"/>
      <c r="CS616" s="91"/>
      <c r="CT616" s="91"/>
      <c r="CU616" s="91"/>
      <c r="CV616" s="91"/>
      <c r="CW616" s="91"/>
      <c r="CX616" s="91"/>
      <c r="CY616" s="91"/>
      <c r="CZ616" s="91"/>
      <c r="DA616" s="91"/>
      <c r="DB616" s="91"/>
      <c r="DC616" s="91"/>
      <c r="DD616" s="91"/>
      <c r="DE616" s="91"/>
      <c r="DF616" s="91"/>
      <c r="DG616" s="91"/>
      <c r="DH616" s="91"/>
      <c r="DI616" s="91"/>
      <c r="DJ616" s="91"/>
      <c r="DK616" s="91"/>
      <c r="DL616" s="91"/>
      <c r="DM616" s="91"/>
      <c r="DN616" s="91"/>
      <c r="DO616" s="91"/>
      <c r="DP616" s="91"/>
      <c r="DQ616" s="91"/>
      <c r="DR616" s="91"/>
      <c r="DS616" s="91"/>
      <c r="DT616" s="91"/>
      <c r="DU616" s="91"/>
      <c r="DV616" s="91"/>
      <c r="DW616" s="91"/>
      <c r="DX616" s="91"/>
      <c r="DY616" s="91"/>
    </row>
    <row r="617" spans="1:129" ht="15.75">
      <c r="A617" s="238"/>
      <c r="D617" s="192"/>
      <c r="E617" s="258"/>
      <c r="F617" s="193"/>
      <c r="G617" s="91"/>
      <c r="H617" s="91"/>
      <c r="I617" s="294"/>
      <c r="J617" s="193"/>
      <c r="K617" s="193"/>
      <c r="L617" s="193"/>
      <c r="M617" s="295"/>
      <c r="N617" s="91"/>
      <c r="O617" s="193"/>
      <c r="P617" s="356"/>
      <c r="Q617" s="91"/>
      <c r="R617" s="356"/>
      <c r="S617" s="357"/>
      <c r="T617" s="357"/>
      <c r="U617" s="357"/>
      <c r="V617" s="357"/>
      <c r="W617" s="357"/>
      <c r="X617" s="357"/>
      <c r="Y617" s="357"/>
      <c r="Z617" s="357"/>
      <c r="AA617" s="374"/>
      <c r="AB617" s="377"/>
      <c r="AC617" s="377"/>
      <c r="AD617" s="377"/>
      <c r="AE617" s="288"/>
      <c r="AF617" s="288"/>
      <c r="AG617" s="288"/>
      <c r="AH617" s="288"/>
      <c r="AI617" s="288"/>
      <c r="AJ617" s="288"/>
      <c r="AK617" s="374"/>
      <c r="AL617" s="91"/>
      <c r="AM617" s="376"/>
      <c r="AN617" s="376"/>
      <c r="AO617" s="286"/>
      <c r="AP617" s="286"/>
      <c r="AQ617" s="286"/>
      <c r="AR617" s="286"/>
      <c r="AS617" s="286"/>
      <c r="AT617" s="286"/>
      <c r="AU617" s="261"/>
      <c r="AV617" s="371"/>
      <c r="AW617" s="91"/>
      <c r="AX617" s="91"/>
      <c r="AY617" s="286"/>
      <c r="AZ617" s="286"/>
      <c r="BA617" s="286"/>
      <c r="BB617" s="286"/>
      <c r="BC617" s="286"/>
      <c r="BD617" s="286"/>
      <c r="BE617" s="261"/>
      <c r="BF617" s="261"/>
      <c r="BG617" s="261"/>
      <c r="BH617" s="261"/>
      <c r="BI617" s="261"/>
      <c r="BJ617" s="261"/>
      <c r="BK617" s="261"/>
      <c r="BL617" s="91"/>
      <c r="BM617" s="278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  <c r="BZ617" s="91"/>
      <c r="CA617" s="91"/>
      <c r="CB617" s="91"/>
      <c r="CC617" s="91"/>
      <c r="CD617" s="91"/>
      <c r="CE617" s="91"/>
      <c r="CF617" s="91"/>
      <c r="CG617" s="91"/>
      <c r="CH617" s="91"/>
      <c r="CI617" s="91"/>
      <c r="CJ617" s="91"/>
      <c r="CK617" s="91"/>
      <c r="CL617" s="91"/>
      <c r="CM617" s="91"/>
      <c r="CN617" s="91"/>
      <c r="CO617" s="91"/>
      <c r="CP617" s="91"/>
      <c r="CQ617" s="91"/>
      <c r="CR617" s="91"/>
      <c r="CS617" s="91"/>
      <c r="CT617" s="91"/>
      <c r="CU617" s="91"/>
      <c r="CV617" s="91"/>
      <c r="CW617" s="91"/>
      <c r="CX617" s="91"/>
      <c r="CY617" s="91"/>
      <c r="CZ617" s="91"/>
      <c r="DA617" s="91"/>
      <c r="DB617" s="91"/>
      <c r="DC617" s="91"/>
      <c r="DD617" s="91"/>
      <c r="DE617" s="91"/>
      <c r="DF617" s="91"/>
      <c r="DG617" s="91"/>
      <c r="DH617" s="91"/>
      <c r="DI617" s="91"/>
      <c r="DJ617" s="91"/>
      <c r="DK617" s="91"/>
      <c r="DL617" s="91"/>
      <c r="DM617" s="91"/>
      <c r="DN617" s="91"/>
      <c r="DO617" s="91"/>
      <c r="DP617" s="91"/>
      <c r="DQ617" s="91"/>
      <c r="DR617" s="91"/>
      <c r="DS617" s="91"/>
      <c r="DT617" s="91"/>
      <c r="DU617" s="91"/>
      <c r="DV617" s="91"/>
      <c r="DW617" s="91"/>
      <c r="DX617" s="91"/>
      <c r="DY617" s="91"/>
    </row>
    <row r="618" spans="1:129" ht="15.75">
      <c r="A618" s="238"/>
      <c r="D618" s="192"/>
      <c r="E618" s="258"/>
      <c r="F618" s="193"/>
      <c r="G618" s="91"/>
      <c r="H618" s="91"/>
      <c r="I618" s="294"/>
      <c r="J618" s="193"/>
      <c r="K618" s="193"/>
      <c r="L618" s="193"/>
      <c r="M618" s="295"/>
      <c r="N618" s="91"/>
      <c r="O618" s="193"/>
      <c r="P618" s="356"/>
      <c r="Q618" s="91"/>
      <c r="R618" s="356"/>
      <c r="S618" s="357"/>
      <c r="T618" s="357"/>
      <c r="U618" s="357"/>
      <c r="V618" s="357"/>
      <c r="W618" s="357"/>
      <c r="X618" s="357"/>
      <c r="Y618" s="357"/>
      <c r="Z618" s="357"/>
      <c r="AA618" s="374"/>
      <c r="AB618" s="377"/>
      <c r="AC618" s="377"/>
      <c r="AD618" s="377"/>
      <c r="AE618" s="288"/>
      <c r="AF618" s="288"/>
      <c r="AG618" s="288"/>
      <c r="AH618" s="288"/>
      <c r="AI618" s="288"/>
      <c r="AJ618" s="288"/>
      <c r="AK618" s="374"/>
      <c r="AL618" s="91"/>
      <c r="AM618" s="376"/>
      <c r="AN618" s="376"/>
      <c r="AO618" s="286"/>
      <c r="AP618" s="286"/>
      <c r="AQ618" s="286"/>
      <c r="AR618" s="286"/>
      <c r="AS618" s="286"/>
      <c r="AT618" s="286"/>
      <c r="AU618" s="261"/>
      <c r="AV618" s="371"/>
      <c r="AW618" s="91"/>
      <c r="AX618" s="91"/>
      <c r="AY618" s="286"/>
      <c r="AZ618" s="286"/>
      <c r="BA618" s="286"/>
      <c r="BB618" s="286"/>
      <c r="BC618" s="286"/>
      <c r="BD618" s="286"/>
      <c r="BE618" s="261"/>
      <c r="BF618" s="261"/>
      <c r="BG618" s="261"/>
      <c r="BH618" s="261"/>
      <c r="BI618" s="261"/>
      <c r="BJ618" s="261"/>
      <c r="BK618" s="261"/>
      <c r="BL618" s="91"/>
      <c r="BM618" s="278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  <c r="BZ618" s="91"/>
      <c r="CA618" s="91"/>
      <c r="CB618" s="91"/>
      <c r="CC618" s="91"/>
      <c r="CD618" s="91"/>
      <c r="CE618" s="91"/>
      <c r="CF618" s="91"/>
      <c r="CG618" s="91"/>
      <c r="CH618" s="91"/>
      <c r="CI618" s="91"/>
      <c r="CJ618" s="91"/>
      <c r="CK618" s="91"/>
      <c r="CL618" s="91"/>
      <c r="CM618" s="91"/>
      <c r="CN618" s="91"/>
      <c r="CO618" s="91"/>
      <c r="CP618" s="91"/>
      <c r="CQ618" s="91"/>
      <c r="CR618" s="91"/>
      <c r="CS618" s="91"/>
      <c r="CT618" s="91"/>
      <c r="CU618" s="91"/>
      <c r="CV618" s="91"/>
      <c r="CW618" s="91"/>
      <c r="CX618" s="91"/>
      <c r="CY618" s="91"/>
      <c r="CZ618" s="91"/>
      <c r="DA618" s="91"/>
      <c r="DB618" s="91"/>
      <c r="DC618" s="91"/>
      <c r="DD618" s="91"/>
      <c r="DE618" s="91"/>
      <c r="DF618" s="91"/>
      <c r="DG618" s="91"/>
      <c r="DH618" s="91"/>
      <c r="DI618" s="91"/>
      <c r="DJ618" s="91"/>
      <c r="DK618" s="91"/>
      <c r="DL618" s="91"/>
      <c r="DM618" s="91"/>
      <c r="DN618" s="91"/>
      <c r="DO618" s="91"/>
      <c r="DP618" s="91"/>
      <c r="DQ618" s="91"/>
      <c r="DR618" s="91"/>
      <c r="DS618" s="91"/>
      <c r="DT618" s="91"/>
      <c r="DU618" s="91"/>
      <c r="DV618" s="91"/>
      <c r="DW618" s="91"/>
      <c r="DX618" s="91"/>
      <c r="DY618" s="91"/>
    </row>
    <row r="619" spans="1:129" ht="15.75">
      <c r="A619" s="238"/>
      <c r="D619" s="192"/>
      <c r="E619" s="258"/>
      <c r="F619" s="193"/>
      <c r="G619" s="91"/>
      <c r="H619" s="91"/>
      <c r="I619" s="294"/>
      <c r="J619" s="193"/>
      <c r="K619" s="193"/>
      <c r="L619" s="193"/>
      <c r="M619" s="295"/>
      <c r="N619" s="91"/>
      <c r="O619" s="193"/>
      <c r="P619" s="356"/>
      <c r="Q619" s="91"/>
      <c r="R619" s="356"/>
      <c r="S619" s="357"/>
      <c r="T619" s="357"/>
      <c r="U619" s="357"/>
      <c r="V619" s="357"/>
      <c r="W619" s="357"/>
      <c r="X619" s="357"/>
      <c r="Y619" s="357"/>
      <c r="Z619" s="357"/>
      <c r="AA619" s="374"/>
      <c r="AB619" s="377"/>
      <c r="AC619" s="377"/>
      <c r="AD619" s="377"/>
      <c r="AE619" s="288"/>
      <c r="AF619" s="288"/>
      <c r="AG619" s="288"/>
      <c r="AH619" s="288"/>
      <c r="AI619" s="288"/>
      <c r="AJ619" s="288"/>
      <c r="AK619" s="374"/>
      <c r="AL619" s="91"/>
      <c r="AM619" s="376"/>
      <c r="AN619" s="376"/>
      <c r="AO619" s="286"/>
      <c r="AP619" s="286"/>
      <c r="AQ619" s="286"/>
      <c r="AR619" s="286"/>
      <c r="AS619" s="286"/>
      <c r="AT619" s="286"/>
      <c r="AU619" s="261"/>
      <c r="AV619" s="371"/>
      <c r="AW619" s="91"/>
      <c r="AX619" s="91"/>
      <c r="AY619" s="286"/>
      <c r="AZ619" s="286"/>
      <c r="BA619" s="286"/>
      <c r="BB619" s="286"/>
      <c r="BC619" s="286"/>
      <c r="BD619" s="286"/>
      <c r="BE619" s="261"/>
      <c r="BF619" s="261"/>
      <c r="BG619" s="261"/>
      <c r="BH619" s="261"/>
      <c r="BI619" s="261"/>
      <c r="BJ619" s="261"/>
      <c r="BK619" s="261"/>
      <c r="BL619" s="91"/>
      <c r="BM619" s="278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  <c r="BZ619" s="91"/>
      <c r="CA619" s="91"/>
      <c r="CB619" s="91"/>
      <c r="CC619" s="91"/>
      <c r="CD619" s="91"/>
      <c r="CE619" s="91"/>
      <c r="CF619" s="91"/>
      <c r="CG619" s="91"/>
      <c r="CH619" s="91"/>
      <c r="CI619" s="91"/>
      <c r="CJ619" s="91"/>
      <c r="CK619" s="91"/>
      <c r="CL619" s="91"/>
      <c r="CM619" s="91"/>
      <c r="CN619" s="91"/>
      <c r="CO619" s="91"/>
      <c r="CP619" s="91"/>
      <c r="CQ619" s="91"/>
      <c r="CR619" s="91"/>
      <c r="CS619" s="91"/>
      <c r="CT619" s="91"/>
      <c r="CU619" s="91"/>
      <c r="CV619" s="91"/>
      <c r="CW619" s="91"/>
      <c r="CX619" s="91"/>
      <c r="CY619" s="91"/>
      <c r="CZ619" s="91"/>
      <c r="DA619" s="91"/>
      <c r="DB619" s="91"/>
      <c r="DC619" s="91"/>
      <c r="DD619" s="91"/>
      <c r="DE619" s="91"/>
      <c r="DF619" s="91"/>
      <c r="DG619" s="91"/>
      <c r="DH619" s="91"/>
      <c r="DI619" s="91"/>
      <c r="DJ619" s="91"/>
      <c r="DK619" s="91"/>
      <c r="DL619" s="91"/>
      <c r="DM619" s="91"/>
      <c r="DN619" s="91"/>
      <c r="DO619" s="91"/>
      <c r="DP619" s="91"/>
      <c r="DQ619" s="91"/>
      <c r="DR619" s="91"/>
      <c r="DS619" s="91"/>
      <c r="DT619" s="91"/>
      <c r="DU619" s="91"/>
      <c r="DV619" s="91"/>
      <c r="DW619" s="91"/>
      <c r="DX619" s="91"/>
      <c r="DY619" s="91"/>
    </row>
    <row r="620" spans="1:129" ht="15.75">
      <c r="A620" s="238"/>
      <c r="D620" s="192"/>
      <c r="E620" s="258"/>
      <c r="F620" s="193"/>
      <c r="G620" s="91"/>
      <c r="H620" s="91"/>
      <c r="I620" s="294"/>
      <c r="J620" s="193"/>
      <c r="K620" s="193"/>
      <c r="L620" s="193"/>
      <c r="M620" s="295"/>
      <c r="N620" s="91"/>
      <c r="O620" s="193"/>
      <c r="P620" s="356"/>
      <c r="Q620" s="91"/>
      <c r="R620" s="356"/>
      <c r="S620" s="357"/>
      <c r="T620" s="357"/>
      <c r="U620" s="357"/>
      <c r="V620" s="357"/>
      <c r="W620" s="357"/>
      <c r="X620" s="357"/>
      <c r="Y620" s="357"/>
      <c r="Z620" s="357"/>
      <c r="AA620" s="374"/>
      <c r="AB620" s="377"/>
      <c r="AC620" s="377"/>
      <c r="AD620" s="377"/>
      <c r="AE620" s="288"/>
      <c r="AF620" s="288"/>
      <c r="AG620" s="288"/>
      <c r="AH620" s="288"/>
      <c r="AI620" s="288"/>
      <c r="AJ620" s="288"/>
      <c r="AK620" s="374"/>
      <c r="AL620" s="91"/>
      <c r="AM620" s="376"/>
      <c r="AN620" s="376"/>
      <c r="AO620" s="286"/>
      <c r="AP620" s="286"/>
      <c r="AQ620" s="286"/>
      <c r="AR620" s="286"/>
      <c r="AS620" s="286"/>
      <c r="AT620" s="286"/>
      <c r="AU620" s="261"/>
      <c r="AV620" s="371"/>
      <c r="AW620" s="91"/>
      <c r="AX620" s="91"/>
      <c r="AY620" s="286"/>
      <c r="AZ620" s="286"/>
      <c r="BA620" s="286"/>
      <c r="BB620" s="286"/>
      <c r="BC620" s="286"/>
      <c r="BD620" s="286"/>
      <c r="BE620" s="261"/>
      <c r="BF620" s="261"/>
      <c r="BG620" s="261"/>
      <c r="BH620" s="261"/>
      <c r="BI620" s="261"/>
      <c r="BJ620" s="261"/>
      <c r="BK620" s="261"/>
      <c r="BL620" s="91"/>
      <c r="BM620" s="278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  <c r="BZ620" s="91"/>
      <c r="CA620" s="91"/>
      <c r="CB620" s="91"/>
      <c r="CC620" s="91"/>
      <c r="CD620" s="91"/>
      <c r="CE620" s="91"/>
      <c r="CF620" s="91"/>
      <c r="CG620" s="91"/>
      <c r="CH620" s="91"/>
      <c r="CI620" s="91"/>
      <c r="CJ620" s="91"/>
      <c r="CK620" s="91"/>
      <c r="CL620" s="91"/>
      <c r="CM620" s="91"/>
      <c r="CN620" s="91"/>
      <c r="CO620" s="91"/>
      <c r="CP620" s="91"/>
      <c r="CQ620" s="91"/>
      <c r="CR620" s="91"/>
      <c r="CS620" s="91"/>
      <c r="CT620" s="91"/>
      <c r="CU620" s="91"/>
      <c r="CV620" s="91"/>
      <c r="CW620" s="91"/>
      <c r="CX620" s="91"/>
      <c r="CY620" s="91"/>
      <c r="CZ620" s="91"/>
      <c r="DA620" s="91"/>
      <c r="DB620" s="91"/>
      <c r="DC620" s="91"/>
      <c r="DD620" s="91"/>
      <c r="DE620" s="91"/>
      <c r="DF620" s="91"/>
      <c r="DG620" s="91"/>
      <c r="DH620" s="91"/>
      <c r="DI620" s="91"/>
      <c r="DJ620" s="91"/>
      <c r="DK620" s="91"/>
      <c r="DL620" s="91"/>
      <c r="DM620" s="91"/>
      <c r="DN620" s="91"/>
      <c r="DO620" s="91"/>
      <c r="DP620" s="91"/>
      <c r="DQ620" s="91"/>
      <c r="DR620" s="91"/>
      <c r="DS620" s="91"/>
      <c r="DT620" s="91"/>
      <c r="DU620" s="91"/>
      <c r="DV620" s="91"/>
      <c r="DW620" s="91"/>
      <c r="DX620" s="91"/>
      <c r="DY620" s="91"/>
    </row>
    <row r="621" spans="1:129" ht="15.75">
      <c r="A621" s="238"/>
      <c r="D621" s="192"/>
      <c r="E621" s="258"/>
      <c r="F621" s="193"/>
      <c r="G621" s="91"/>
      <c r="H621" s="91"/>
      <c r="I621" s="294"/>
      <c r="J621" s="193"/>
      <c r="K621" s="193"/>
      <c r="L621" s="193"/>
      <c r="M621" s="295"/>
      <c r="N621" s="91"/>
      <c r="O621" s="193"/>
      <c r="P621" s="356"/>
      <c r="Q621" s="91"/>
      <c r="R621" s="356"/>
      <c r="S621" s="357"/>
      <c r="T621" s="357"/>
      <c r="U621" s="357"/>
      <c r="V621" s="357"/>
      <c r="W621" s="357"/>
      <c r="X621" s="357"/>
      <c r="Y621" s="357"/>
      <c r="Z621" s="357"/>
      <c r="AA621" s="374"/>
      <c r="AB621" s="377"/>
      <c r="AC621" s="377"/>
      <c r="AD621" s="377"/>
      <c r="AE621" s="288"/>
      <c r="AF621" s="288"/>
      <c r="AG621" s="288"/>
      <c r="AH621" s="288"/>
      <c r="AI621" s="288"/>
      <c r="AJ621" s="288"/>
      <c r="AK621" s="374"/>
      <c r="AL621" s="91"/>
      <c r="AM621" s="376"/>
      <c r="AN621" s="376"/>
      <c r="AO621" s="286"/>
      <c r="AP621" s="286"/>
      <c r="AQ621" s="286"/>
      <c r="AR621" s="286"/>
      <c r="AS621" s="286"/>
      <c r="AT621" s="286"/>
      <c r="AU621" s="261"/>
      <c r="AV621" s="371"/>
      <c r="AW621" s="91"/>
      <c r="AX621" s="91"/>
      <c r="AY621" s="286"/>
      <c r="AZ621" s="286"/>
      <c r="BA621" s="286"/>
      <c r="BB621" s="286"/>
      <c r="BC621" s="286"/>
      <c r="BD621" s="286"/>
      <c r="BE621" s="261"/>
      <c r="BF621" s="261"/>
      <c r="BG621" s="261"/>
      <c r="BH621" s="261"/>
      <c r="BI621" s="261"/>
      <c r="BJ621" s="261"/>
      <c r="BK621" s="261"/>
      <c r="BL621" s="91"/>
      <c r="BM621" s="278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  <c r="BZ621" s="91"/>
      <c r="CA621" s="91"/>
      <c r="CB621" s="91"/>
      <c r="CC621" s="91"/>
      <c r="CD621" s="91"/>
      <c r="CE621" s="91"/>
      <c r="CF621" s="91"/>
      <c r="CG621" s="91"/>
      <c r="CH621" s="91"/>
      <c r="CI621" s="91"/>
      <c r="CJ621" s="91"/>
      <c r="CK621" s="91"/>
      <c r="CL621" s="91"/>
      <c r="CM621" s="91"/>
      <c r="CN621" s="91"/>
      <c r="CO621" s="91"/>
      <c r="CP621" s="91"/>
      <c r="CQ621" s="91"/>
      <c r="CR621" s="91"/>
      <c r="CS621" s="91"/>
      <c r="CT621" s="91"/>
      <c r="CU621" s="91"/>
      <c r="CV621" s="91"/>
      <c r="CW621" s="91"/>
      <c r="CX621" s="91"/>
      <c r="CY621" s="91"/>
      <c r="CZ621" s="91"/>
      <c r="DA621" s="91"/>
      <c r="DB621" s="91"/>
      <c r="DC621" s="91"/>
      <c r="DD621" s="91"/>
      <c r="DE621" s="91"/>
      <c r="DF621" s="91"/>
      <c r="DG621" s="91"/>
      <c r="DH621" s="91"/>
      <c r="DI621" s="91"/>
      <c r="DJ621" s="91"/>
      <c r="DK621" s="91"/>
      <c r="DL621" s="91"/>
      <c r="DM621" s="91"/>
      <c r="DN621" s="91"/>
      <c r="DO621" s="91"/>
      <c r="DP621" s="91"/>
      <c r="DQ621" s="91"/>
      <c r="DR621" s="91"/>
      <c r="DS621" s="91"/>
      <c r="DT621" s="91"/>
      <c r="DU621" s="91"/>
      <c r="DV621" s="91"/>
      <c r="DW621" s="91"/>
      <c r="DX621" s="91"/>
      <c r="DY621" s="91"/>
    </row>
    <row r="622" spans="1:129" ht="15.75">
      <c r="A622" s="238"/>
      <c r="D622" s="192"/>
      <c r="E622" s="258"/>
      <c r="F622" s="193"/>
      <c r="G622" s="91"/>
      <c r="H622" s="91"/>
      <c r="I622" s="294"/>
      <c r="J622" s="193"/>
      <c r="K622" s="193"/>
      <c r="L622" s="193"/>
      <c r="M622" s="295"/>
      <c r="N622" s="91"/>
      <c r="O622" s="193"/>
      <c r="P622" s="356"/>
      <c r="Q622" s="91"/>
      <c r="R622" s="356"/>
      <c r="S622" s="357"/>
      <c r="T622" s="357"/>
      <c r="U622" s="357"/>
      <c r="V622" s="357"/>
      <c r="W622" s="357"/>
      <c r="X622" s="357"/>
      <c r="Y622" s="357"/>
      <c r="Z622" s="357"/>
      <c r="AA622" s="374"/>
      <c r="AB622" s="377"/>
      <c r="AC622" s="377"/>
      <c r="AD622" s="377"/>
      <c r="AE622" s="288"/>
      <c r="AF622" s="288"/>
      <c r="AG622" s="288"/>
      <c r="AH622" s="288"/>
      <c r="AI622" s="288"/>
      <c r="AJ622" s="288"/>
      <c r="AK622" s="374"/>
      <c r="AL622" s="91"/>
      <c r="AM622" s="376"/>
      <c r="AN622" s="376"/>
      <c r="AO622" s="286"/>
      <c r="AP622" s="286"/>
      <c r="AQ622" s="286"/>
      <c r="AR622" s="286"/>
      <c r="AS622" s="286"/>
      <c r="AT622" s="286"/>
      <c r="AU622" s="261"/>
      <c r="AV622" s="371"/>
      <c r="AW622" s="91"/>
      <c r="AX622" s="91"/>
      <c r="AY622" s="286"/>
      <c r="AZ622" s="286"/>
      <c r="BA622" s="286"/>
      <c r="BB622" s="286"/>
      <c r="BC622" s="286"/>
      <c r="BD622" s="286"/>
      <c r="BE622" s="261"/>
      <c r="BF622" s="261"/>
      <c r="BG622" s="261"/>
      <c r="BH622" s="261"/>
      <c r="BI622" s="261"/>
      <c r="BJ622" s="261"/>
      <c r="BK622" s="261"/>
      <c r="BL622" s="91"/>
      <c r="BM622" s="278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  <c r="BZ622" s="91"/>
      <c r="CA622" s="91"/>
      <c r="CB622" s="91"/>
      <c r="CC622" s="91"/>
      <c r="CD622" s="91"/>
      <c r="CE622" s="91"/>
      <c r="CF622" s="91"/>
      <c r="CG622" s="91"/>
      <c r="CH622" s="91"/>
      <c r="CI622" s="91"/>
      <c r="CJ622" s="91"/>
      <c r="CK622" s="91"/>
      <c r="CL622" s="91"/>
      <c r="CM622" s="91"/>
      <c r="CN622" s="91"/>
      <c r="CO622" s="91"/>
      <c r="CP622" s="91"/>
      <c r="CQ622" s="91"/>
      <c r="CR622" s="91"/>
      <c r="CS622" s="91"/>
      <c r="CT622" s="91"/>
      <c r="CU622" s="91"/>
      <c r="CV622" s="91"/>
      <c r="CW622" s="91"/>
      <c r="CX622" s="91"/>
      <c r="CY622" s="91"/>
      <c r="CZ622" s="91"/>
      <c r="DA622" s="91"/>
      <c r="DB622" s="91"/>
      <c r="DC622" s="91"/>
      <c r="DD622" s="91"/>
      <c r="DE622" s="91"/>
      <c r="DF622" s="91"/>
      <c r="DG622" s="91"/>
      <c r="DH622" s="91"/>
      <c r="DI622" s="91"/>
      <c r="DJ622" s="91"/>
      <c r="DK622" s="91"/>
      <c r="DL622" s="91"/>
      <c r="DM622" s="91"/>
      <c r="DN622" s="91"/>
      <c r="DO622" s="91"/>
      <c r="DP622" s="91"/>
      <c r="DQ622" s="91"/>
      <c r="DR622" s="91"/>
      <c r="DS622" s="91"/>
      <c r="DT622" s="91"/>
      <c r="DU622" s="91"/>
      <c r="DV622" s="91"/>
      <c r="DW622" s="91"/>
      <c r="DX622" s="91"/>
      <c r="DY622" s="91"/>
    </row>
    <row r="623" spans="1:129" ht="15.75">
      <c r="A623" s="238"/>
      <c r="D623" s="192"/>
      <c r="E623" s="258"/>
      <c r="F623" s="193"/>
      <c r="G623" s="91"/>
      <c r="H623" s="91"/>
      <c r="I623" s="294"/>
      <c r="J623" s="193"/>
      <c r="K623" s="193"/>
      <c r="L623" s="193"/>
      <c r="M623" s="295"/>
      <c r="N623" s="91"/>
      <c r="O623" s="193"/>
      <c r="P623" s="356"/>
      <c r="Q623" s="91"/>
      <c r="R623" s="356"/>
      <c r="S623" s="357"/>
      <c r="T623" s="357"/>
      <c r="U623" s="357"/>
      <c r="V623" s="357"/>
      <c r="W623" s="357"/>
      <c r="X623" s="357"/>
      <c r="Y623" s="357"/>
      <c r="Z623" s="357"/>
      <c r="AA623" s="374"/>
      <c r="AB623" s="377"/>
      <c r="AC623" s="377"/>
      <c r="AD623" s="377"/>
      <c r="AE623" s="288"/>
      <c r="AF623" s="288"/>
      <c r="AG623" s="288"/>
      <c r="AH623" s="288"/>
      <c r="AI623" s="288"/>
      <c r="AJ623" s="288"/>
      <c r="AK623" s="374"/>
      <c r="AL623" s="91"/>
      <c r="AM623" s="376"/>
      <c r="AN623" s="376"/>
      <c r="AO623" s="286"/>
      <c r="AP623" s="286"/>
      <c r="AQ623" s="286"/>
      <c r="AR623" s="286"/>
      <c r="AS623" s="286"/>
      <c r="AT623" s="286"/>
      <c r="AU623" s="261"/>
      <c r="AV623" s="371"/>
      <c r="AW623" s="91"/>
      <c r="AX623" s="91"/>
      <c r="AY623" s="286"/>
      <c r="AZ623" s="286"/>
      <c r="BA623" s="286"/>
      <c r="BB623" s="286"/>
      <c r="BC623" s="286"/>
      <c r="BD623" s="286"/>
      <c r="BE623" s="261"/>
      <c r="BF623" s="261"/>
      <c r="BG623" s="261"/>
      <c r="BH623" s="261"/>
      <c r="BI623" s="261"/>
      <c r="BJ623" s="261"/>
      <c r="BK623" s="261"/>
      <c r="BL623" s="91"/>
      <c r="BM623" s="278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  <c r="BZ623" s="91"/>
      <c r="CA623" s="91"/>
      <c r="CB623" s="91"/>
      <c r="CC623" s="91"/>
      <c r="CD623" s="91"/>
      <c r="CE623" s="91"/>
      <c r="CF623" s="91"/>
      <c r="CG623" s="91"/>
      <c r="CH623" s="91"/>
      <c r="CI623" s="91"/>
      <c r="CJ623" s="91"/>
      <c r="CK623" s="91"/>
      <c r="CL623" s="91"/>
      <c r="CM623" s="91"/>
      <c r="CN623" s="91"/>
      <c r="CO623" s="91"/>
      <c r="CP623" s="91"/>
      <c r="CQ623" s="91"/>
      <c r="CR623" s="91"/>
      <c r="CS623" s="91"/>
      <c r="CT623" s="91"/>
      <c r="CU623" s="91"/>
      <c r="CV623" s="91"/>
      <c r="CW623" s="91"/>
      <c r="CX623" s="91"/>
      <c r="CY623" s="91"/>
      <c r="CZ623" s="91"/>
      <c r="DA623" s="91"/>
      <c r="DB623" s="91"/>
      <c r="DC623" s="91"/>
      <c r="DD623" s="91"/>
      <c r="DE623" s="91"/>
      <c r="DF623" s="91"/>
      <c r="DG623" s="91"/>
      <c r="DH623" s="91"/>
      <c r="DI623" s="91"/>
      <c r="DJ623" s="91"/>
      <c r="DK623" s="91"/>
      <c r="DL623" s="91"/>
      <c r="DM623" s="91"/>
      <c r="DN623" s="91"/>
      <c r="DO623" s="91"/>
      <c r="DP623" s="91"/>
      <c r="DQ623" s="91"/>
      <c r="DR623" s="91"/>
      <c r="DS623" s="91"/>
      <c r="DT623" s="91"/>
      <c r="DU623" s="91"/>
      <c r="DV623" s="91"/>
      <c r="DW623" s="91"/>
      <c r="DX623" s="91"/>
      <c r="DY623" s="91"/>
    </row>
    <row r="624" spans="1:129" ht="15.75">
      <c r="A624" s="238"/>
      <c r="D624" s="192"/>
      <c r="E624" s="258"/>
      <c r="F624" s="193"/>
      <c r="G624" s="91"/>
      <c r="H624" s="91"/>
      <c r="I624" s="294"/>
      <c r="J624" s="193"/>
      <c r="K624" s="193"/>
      <c r="L624" s="193"/>
      <c r="M624" s="295"/>
      <c r="N624" s="91"/>
      <c r="O624" s="193"/>
      <c r="P624" s="356"/>
      <c r="Q624" s="91"/>
      <c r="R624" s="356"/>
      <c r="S624" s="357"/>
      <c r="T624" s="357"/>
      <c r="U624" s="357"/>
      <c r="V624" s="357"/>
      <c r="W624" s="357"/>
      <c r="X624" s="357"/>
      <c r="Y624" s="357"/>
      <c r="Z624" s="357"/>
      <c r="AA624" s="374"/>
      <c r="AB624" s="377"/>
      <c r="AC624" s="377"/>
      <c r="AD624" s="377"/>
      <c r="AE624" s="288"/>
      <c r="AF624" s="288"/>
      <c r="AG624" s="288"/>
      <c r="AH624" s="288"/>
      <c r="AI624" s="288"/>
      <c r="AJ624" s="288"/>
      <c r="AK624" s="374"/>
      <c r="AL624" s="91"/>
      <c r="AM624" s="376"/>
      <c r="AN624" s="376"/>
      <c r="AO624" s="286"/>
      <c r="AP624" s="286"/>
      <c r="AQ624" s="286"/>
      <c r="AR624" s="286"/>
      <c r="AS624" s="286"/>
      <c r="AT624" s="286"/>
      <c r="AU624" s="261"/>
      <c r="AV624" s="371"/>
      <c r="AW624" s="91"/>
      <c r="AX624" s="91"/>
      <c r="AY624" s="286"/>
      <c r="AZ624" s="286"/>
      <c r="BA624" s="286"/>
      <c r="BB624" s="286"/>
      <c r="BC624" s="286"/>
      <c r="BD624" s="286"/>
      <c r="BE624" s="261"/>
      <c r="BF624" s="261"/>
      <c r="BG624" s="261"/>
      <c r="BH624" s="261"/>
      <c r="BI624" s="261"/>
      <c r="BJ624" s="261"/>
      <c r="BK624" s="261"/>
      <c r="BL624" s="91"/>
      <c r="BM624" s="278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  <c r="BZ624" s="91"/>
      <c r="CA624" s="91"/>
      <c r="CB624" s="91"/>
      <c r="CC624" s="91"/>
      <c r="CD624" s="91"/>
      <c r="CE624" s="91"/>
      <c r="CF624" s="91"/>
      <c r="CG624" s="91"/>
      <c r="CH624" s="91"/>
      <c r="CI624" s="91"/>
      <c r="CJ624" s="91"/>
      <c r="CK624" s="91"/>
      <c r="CL624" s="91"/>
      <c r="CM624" s="91"/>
      <c r="CN624" s="91"/>
      <c r="CO624" s="91"/>
      <c r="CP624" s="91"/>
      <c r="CQ624" s="91"/>
      <c r="CR624" s="91"/>
      <c r="CS624" s="91"/>
      <c r="CT624" s="91"/>
      <c r="CU624" s="91"/>
      <c r="CV624" s="91"/>
      <c r="CW624" s="91"/>
      <c r="CX624" s="91"/>
      <c r="CY624" s="91"/>
      <c r="CZ624" s="91"/>
      <c r="DA624" s="91"/>
      <c r="DB624" s="91"/>
      <c r="DC624" s="91"/>
      <c r="DD624" s="91"/>
      <c r="DE624" s="91"/>
      <c r="DF624" s="91"/>
      <c r="DG624" s="91"/>
      <c r="DH624" s="91"/>
      <c r="DI624" s="91"/>
      <c r="DJ624" s="91"/>
      <c r="DK624" s="91"/>
      <c r="DL624" s="91"/>
      <c r="DM624" s="91"/>
      <c r="DN624" s="91"/>
      <c r="DO624" s="91"/>
      <c r="DP624" s="91"/>
      <c r="DQ624" s="91"/>
      <c r="DR624" s="91"/>
      <c r="DS624" s="91"/>
      <c r="DT624" s="91"/>
      <c r="DU624" s="91"/>
      <c r="DV624" s="91"/>
      <c r="DW624" s="91"/>
      <c r="DX624" s="91"/>
      <c r="DY624" s="91"/>
    </row>
    <row r="625" spans="1:129" ht="15.75">
      <c r="A625" s="238"/>
      <c r="D625" s="192"/>
      <c r="E625" s="258"/>
      <c r="F625" s="193"/>
      <c r="G625" s="91"/>
      <c r="H625" s="91"/>
      <c r="I625" s="294"/>
      <c r="J625" s="193"/>
      <c r="K625" s="193"/>
      <c r="L625" s="193"/>
      <c r="M625" s="295"/>
      <c r="N625" s="91"/>
      <c r="O625" s="193"/>
      <c r="P625" s="356"/>
      <c r="Q625" s="91"/>
      <c r="R625" s="356"/>
      <c r="S625" s="357"/>
      <c r="T625" s="357"/>
      <c r="U625" s="357"/>
      <c r="V625" s="357"/>
      <c r="W625" s="357"/>
      <c r="X625" s="357"/>
      <c r="Y625" s="357"/>
      <c r="Z625" s="357"/>
      <c r="AA625" s="374"/>
      <c r="AB625" s="377"/>
      <c r="AC625" s="377"/>
      <c r="AD625" s="377"/>
      <c r="AE625" s="288"/>
      <c r="AF625" s="288"/>
      <c r="AG625" s="288"/>
      <c r="AH625" s="288"/>
      <c r="AI625" s="288"/>
      <c r="AJ625" s="288"/>
      <c r="AK625" s="374"/>
      <c r="AL625" s="91"/>
      <c r="AM625" s="376"/>
      <c r="AN625" s="376"/>
      <c r="AO625" s="286"/>
      <c r="AP625" s="286"/>
      <c r="AQ625" s="286"/>
      <c r="AR625" s="286"/>
      <c r="AS625" s="286"/>
      <c r="AT625" s="286"/>
      <c r="AU625" s="261"/>
      <c r="AV625" s="371"/>
      <c r="AW625" s="91"/>
      <c r="AX625" s="91"/>
      <c r="AY625" s="286"/>
      <c r="AZ625" s="286"/>
      <c r="BA625" s="286"/>
      <c r="BB625" s="286"/>
      <c r="BC625" s="286"/>
      <c r="BD625" s="286"/>
      <c r="BE625" s="261"/>
      <c r="BF625" s="261"/>
      <c r="BG625" s="261"/>
      <c r="BH625" s="261"/>
      <c r="BI625" s="261"/>
      <c r="BJ625" s="261"/>
      <c r="BK625" s="261"/>
      <c r="BL625" s="91"/>
      <c r="BM625" s="278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  <c r="BZ625" s="91"/>
      <c r="CA625" s="91"/>
      <c r="CB625" s="91"/>
      <c r="CC625" s="91"/>
      <c r="CD625" s="91"/>
      <c r="CE625" s="91"/>
      <c r="CF625" s="91"/>
      <c r="CG625" s="91"/>
      <c r="CH625" s="91"/>
      <c r="CI625" s="91"/>
      <c r="CJ625" s="91"/>
      <c r="CK625" s="91"/>
      <c r="CL625" s="91"/>
      <c r="CM625" s="91"/>
      <c r="CN625" s="91"/>
      <c r="CO625" s="91"/>
      <c r="CP625" s="91"/>
      <c r="CQ625" s="91"/>
      <c r="CR625" s="91"/>
      <c r="CS625" s="91"/>
      <c r="CT625" s="91"/>
      <c r="CU625" s="91"/>
      <c r="CV625" s="91"/>
      <c r="CW625" s="91"/>
      <c r="CX625" s="91"/>
      <c r="CY625" s="91"/>
      <c r="CZ625" s="91"/>
      <c r="DA625" s="91"/>
      <c r="DB625" s="91"/>
      <c r="DC625" s="91"/>
      <c r="DD625" s="91"/>
      <c r="DE625" s="91"/>
      <c r="DF625" s="91"/>
      <c r="DG625" s="91"/>
      <c r="DH625" s="91"/>
      <c r="DI625" s="91"/>
      <c r="DJ625" s="91"/>
      <c r="DK625" s="91"/>
      <c r="DL625" s="91"/>
      <c r="DM625" s="91"/>
      <c r="DN625" s="91"/>
      <c r="DO625" s="91"/>
      <c r="DP625" s="91"/>
      <c r="DQ625" s="91"/>
      <c r="DR625" s="91"/>
      <c r="DS625" s="91"/>
      <c r="DT625" s="91"/>
      <c r="DU625" s="91"/>
      <c r="DV625" s="91"/>
      <c r="DW625" s="91"/>
      <c r="DX625" s="91"/>
      <c r="DY625" s="91"/>
    </row>
    <row r="626" spans="1:129" ht="15.75">
      <c r="A626" s="238"/>
      <c r="D626" s="192"/>
      <c r="E626" s="258"/>
      <c r="F626" s="193"/>
      <c r="G626" s="91"/>
      <c r="H626" s="91"/>
      <c r="I626" s="294"/>
      <c r="J626" s="193"/>
      <c r="K626" s="193"/>
      <c r="L626" s="193"/>
      <c r="M626" s="295"/>
      <c r="N626" s="91"/>
      <c r="O626" s="193"/>
      <c r="P626" s="356"/>
      <c r="Q626" s="91"/>
      <c r="R626" s="356"/>
      <c r="S626" s="357"/>
      <c r="T626" s="357"/>
      <c r="U626" s="357"/>
      <c r="V626" s="357"/>
      <c r="W626" s="357"/>
      <c r="X626" s="357"/>
      <c r="Y626" s="357"/>
      <c r="Z626" s="357"/>
      <c r="AA626" s="374"/>
      <c r="AB626" s="377"/>
      <c r="AC626" s="377"/>
      <c r="AD626" s="377"/>
      <c r="AE626" s="288"/>
      <c r="AF626" s="288"/>
      <c r="AG626" s="288"/>
      <c r="AH626" s="288"/>
      <c r="AI626" s="288"/>
      <c r="AJ626" s="288"/>
      <c r="AK626" s="374"/>
      <c r="AL626" s="91"/>
      <c r="AM626" s="376"/>
      <c r="AN626" s="376"/>
      <c r="AO626" s="286"/>
      <c r="AP626" s="286"/>
      <c r="AQ626" s="286"/>
      <c r="AR626" s="286"/>
      <c r="AS626" s="286"/>
      <c r="AT626" s="286"/>
      <c r="AU626" s="261"/>
      <c r="AV626" s="371"/>
      <c r="AW626" s="91"/>
      <c r="AX626" s="91"/>
      <c r="AY626" s="286"/>
      <c r="AZ626" s="286"/>
      <c r="BA626" s="286"/>
      <c r="BB626" s="286"/>
      <c r="BC626" s="286"/>
      <c r="BD626" s="286"/>
      <c r="BE626" s="261"/>
      <c r="BF626" s="261"/>
      <c r="BG626" s="261"/>
      <c r="BH626" s="261"/>
      <c r="BI626" s="261"/>
      <c r="BJ626" s="261"/>
      <c r="BK626" s="261"/>
      <c r="BL626" s="91"/>
      <c r="BM626" s="278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  <c r="BZ626" s="91"/>
      <c r="CA626" s="91"/>
      <c r="CB626" s="91"/>
      <c r="CC626" s="91"/>
      <c r="CD626" s="91"/>
      <c r="CE626" s="91"/>
      <c r="CF626" s="91"/>
      <c r="CG626" s="91"/>
      <c r="CH626" s="91"/>
      <c r="CI626" s="91"/>
      <c r="CJ626" s="91"/>
      <c r="CK626" s="91"/>
      <c r="CL626" s="91"/>
      <c r="CM626" s="91"/>
      <c r="CN626" s="91"/>
      <c r="CO626" s="91"/>
      <c r="CP626" s="91"/>
      <c r="CQ626" s="91"/>
      <c r="CR626" s="91"/>
      <c r="CS626" s="91"/>
      <c r="CT626" s="91"/>
      <c r="CU626" s="91"/>
      <c r="CV626" s="91"/>
      <c r="CW626" s="91"/>
      <c r="CX626" s="91"/>
      <c r="CY626" s="91"/>
      <c r="CZ626" s="91"/>
      <c r="DA626" s="91"/>
      <c r="DB626" s="91"/>
      <c r="DC626" s="91"/>
      <c r="DD626" s="91"/>
      <c r="DE626" s="91"/>
      <c r="DF626" s="91"/>
      <c r="DG626" s="91"/>
      <c r="DH626" s="91"/>
      <c r="DI626" s="91"/>
      <c r="DJ626" s="91"/>
      <c r="DK626" s="91"/>
      <c r="DL626" s="91"/>
      <c r="DM626" s="91"/>
      <c r="DN626" s="91"/>
      <c r="DO626" s="91"/>
      <c r="DP626" s="91"/>
      <c r="DQ626" s="91"/>
      <c r="DR626" s="91"/>
      <c r="DS626" s="91"/>
      <c r="DT626" s="91"/>
      <c r="DU626" s="91"/>
      <c r="DV626" s="91"/>
      <c r="DW626" s="91"/>
      <c r="DX626" s="91"/>
      <c r="DY626" s="91"/>
    </row>
    <row r="627" spans="1:129" ht="15.75">
      <c r="A627" s="238"/>
      <c r="D627" s="192"/>
      <c r="E627" s="258"/>
      <c r="F627" s="193"/>
      <c r="G627" s="91"/>
      <c r="H627" s="91"/>
      <c r="I627" s="294"/>
      <c r="J627" s="193"/>
      <c r="K627" s="193"/>
      <c r="L627" s="193"/>
      <c r="M627" s="295"/>
      <c r="N627" s="91"/>
      <c r="O627" s="193"/>
      <c r="P627" s="356"/>
      <c r="Q627" s="91"/>
      <c r="R627" s="356"/>
      <c r="S627" s="357"/>
      <c r="T627" s="357"/>
      <c r="U627" s="357"/>
      <c r="V627" s="357"/>
      <c r="W627" s="357"/>
      <c r="X627" s="357"/>
      <c r="Y627" s="357"/>
      <c r="Z627" s="357"/>
      <c r="AA627" s="374"/>
      <c r="AB627" s="377"/>
      <c r="AC627" s="377"/>
      <c r="AD627" s="377"/>
      <c r="AE627" s="288"/>
      <c r="AF627" s="288"/>
      <c r="AG627" s="288"/>
      <c r="AH627" s="288"/>
      <c r="AI627" s="288"/>
      <c r="AJ627" s="288"/>
      <c r="AK627" s="374"/>
      <c r="AL627" s="91"/>
      <c r="AM627" s="376"/>
      <c r="AN627" s="376"/>
      <c r="AO627" s="286"/>
      <c r="AP627" s="286"/>
      <c r="AQ627" s="286"/>
      <c r="AR627" s="286"/>
      <c r="AS627" s="286"/>
      <c r="AT627" s="286"/>
      <c r="AU627" s="261"/>
      <c r="AV627" s="371"/>
      <c r="AW627" s="91"/>
      <c r="AX627" s="91"/>
      <c r="AY627" s="286"/>
      <c r="AZ627" s="286"/>
      <c r="BA627" s="286"/>
      <c r="BB627" s="286"/>
      <c r="BC627" s="286"/>
      <c r="BD627" s="286"/>
      <c r="BE627" s="261"/>
      <c r="BF627" s="261"/>
      <c r="BG627" s="261"/>
      <c r="BH627" s="261"/>
      <c r="BI627" s="261"/>
      <c r="BJ627" s="261"/>
      <c r="BK627" s="261"/>
      <c r="BL627" s="91"/>
      <c r="BM627" s="278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  <c r="BZ627" s="91"/>
      <c r="CA627" s="91"/>
      <c r="CB627" s="91"/>
      <c r="CC627" s="91"/>
      <c r="CD627" s="91"/>
      <c r="CE627" s="91"/>
      <c r="CF627" s="91"/>
      <c r="CG627" s="91"/>
      <c r="CH627" s="91"/>
      <c r="CI627" s="91"/>
      <c r="CJ627" s="91"/>
      <c r="CK627" s="91"/>
      <c r="CL627" s="91"/>
      <c r="CM627" s="91"/>
      <c r="CN627" s="91"/>
      <c r="CO627" s="91"/>
      <c r="CP627" s="91"/>
      <c r="CQ627" s="91"/>
      <c r="CR627" s="91"/>
      <c r="CS627" s="91"/>
      <c r="CT627" s="91"/>
      <c r="CU627" s="91"/>
      <c r="CV627" s="91"/>
      <c r="CW627" s="91"/>
      <c r="CX627" s="91"/>
      <c r="CY627" s="91"/>
      <c r="CZ627" s="91"/>
      <c r="DA627" s="91"/>
      <c r="DB627" s="91"/>
      <c r="DC627" s="91"/>
      <c r="DD627" s="91"/>
      <c r="DE627" s="91"/>
      <c r="DF627" s="91"/>
      <c r="DG627" s="91"/>
      <c r="DH627" s="91"/>
      <c r="DI627" s="91"/>
      <c r="DJ627" s="91"/>
      <c r="DK627" s="91"/>
      <c r="DL627" s="91"/>
      <c r="DM627" s="91"/>
      <c r="DN627" s="91"/>
      <c r="DO627" s="91"/>
      <c r="DP627" s="91"/>
      <c r="DQ627" s="91"/>
      <c r="DR627" s="91"/>
      <c r="DS627" s="91"/>
      <c r="DT627" s="91"/>
      <c r="DU627" s="91"/>
      <c r="DV627" s="91"/>
      <c r="DW627" s="91"/>
      <c r="DX627" s="91"/>
      <c r="DY627" s="91"/>
    </row>
    <row r="628" spans="1:129" ht="15.75">
      <c r="A628" s="238"/>
      <c r="D628" s="192"/>
      <c r="E628" s="258"/>
      <c r="F628" s="193"/>
      <c r="G628" s="91"/>
      <c r="H628" s="91"/>
      <c r="I628" s="294"/>
      <c r="J628" s="193"/>
      <c r="K628" s="193"/>
      <c r="L628" s="193"/>
      <c r="M628" s="295"/>
      <c r="N628" s="91"/>
      <c r="O628" s="193"/>
      <c r="P628" s="356"/>
      <c r="Q628" s="91"/>
      <c r="R628" s="356"/>
      <c r="S628" s="357"/>
      <c r="T628" s="357"/>
      <c r="U628" s="357"/>
      <c r="V628" s="357"/>
      <c r="W628" s="357"/>
      <c r="X628" s="357"/>
      <c r="Y628" s="357"/>
      <c r="Z628" s="357"/>
      <c r="AA628" s="374"/>
      <c r="AB628" s="377"/>
      <c r="AC628" s="377"/>
      <c r="AD628" s="377"/>
      <c r="AE628" s="288"/>
      <c r="AF628" s="288"/>
      <c r="AG628" s="288"/>
      <c r="AH628" s="288"/>
      <c r="AI628" s="288"/>
      <c r="AJ628" s="288"/>
      <c r="AK628" s="374"/>
      <c r="AL628" s="91"/>
      <c r="AM628" s="376"/>
      <c r="AN628" s="376"/>
      <c r="AO628" s="286"/>
      <c r="AP628" s="286"/>
      <c r="AQ628" s="286"/>
      <c r="AR628" s="286"/>
      <c r="AS628" s="286"/>
      <c r="AT628" s="286"/>
      <c r="AU628" s="261"/>
      <c r="AV628" s="371"/>
      <c r="AW628" s="91"/>
      <c r="AX628" s="91"/>
      <c r="AY628" s="286"/>
      <c r="AZ628" s="286"/>
      <c r="BA628" s="286"/>
      <c r="BB628" s="286"/>
      <c r="BC628" s="286"/>
      <c r="BD628" s="286"/>
      <c r="BE628" s="261"/>
      <c r="BF628" s="261"/>
      <c r="BG628" s="261"/>
      <c r="BH628" s="261"/>
      <c r="BI628" s="261"/>
      <c r="BJ628" s="261"/>
      <c r="BK628" s="261"/>
      <c r="BL628" s="91"/>
      <c r="BM628" s="278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  <c r="BZ628" s="91"/>
      <c r="CA628" s="91"/>
      <c r="CB628" s="91"/>
      <c r="CC628" s="91"/>
      <c r="CD628" s="91"/>
      <c r="CE628" s="91"/>
      <c r="CF628" s="91"/>
      <c r="CG628" s="91"/>
      <c r="CH628" s="91"/>
      <c r="CI628" s="91"/>
      <c r="CJ628" s="91"/>
      <c r="CK628" s="91"/>
      <c r="CL628" s="91"/>
      <c r="CM628" s="91"/>
      <c r="CN628" s="91"/>
      <c r="CO628" s="91"/>
      <c r="CP628" s="91"/>
      <c r="CQ628" s="91"/>
      <c r="CR628" s="91"/>
      <c r="CS628" s="91"/>
      <c r="CT628" s="91"/>
      <c r="CU628" s="91"/>
      <c r="CV628" s="91"/>
      <c r="CW628" s="91"/>
      <c r="CX628" s="91"/>
      <c r="CY628" s="91"/>
      <c r="CZ628" s="91"/>
      <c r="DA628" s="91"/>
      <c r="DB628" s="91"/>
      <c r="DC628" s="91"/>
      <c r="DD628" s="91"/>
      <c r="DE628" s="91"/>
      <c r="DF628" s="91"/>
      <c r="DG628" s="91"/>
      <c r="DH628" s="91"/>
      <c r="DI628" s="91"/>
      <c r="DJ628" s="91"/>
      <c r="DK628" s="91"/>
      <c r="DL628" s="91"/>
      <c r="DM628" s="91"/>
      <c r="DN628" s="91"/>
      <c r="DO628" s="91"/>
      <c r="DP628" s="91"/>
      <c r="DQ628" s="91"/>
      <c r="DR628" s="91"/>
      <c r="DS628" s="91"/>
      <c r="DT628" s="91"/>
      <c r="DU628" s="91"/>
      <c r="DV628" s="91"/>
      <c r="DW628" s="91"/>
      <c r="DX628" s="91"/>
      <c r="DY628" s="91"/>
    </row>
    <row r="629" spans="1:129" ht="15.75">
      <c r="A629" s="238"/>
      <c r="D629" s="192"/>
      <c r="E629" s="258"/>
      <c r="F629" s="193"/>
      <c r="G629" s="91"/>
      <c r="H629" s="91"/>
      <c r="I629" s="294"/>
      <c r="J629" s="193"/>
      <c r="K629" s="193"/>
      <c r="L629" s="193"/>
      <c r="M629" s="295"/>
      <c r="N629" s="91"/>
      <c r="O629" s="193"/>
      <c r="P629" s="356"/>
      <c r="Q629" s="91"/>
      <c r="R629" s="356"/>
      <c r="S629" s="357"/>
      <c r="T629" s="357"/>
      <c r="U629" s="357"/>
      <c r="V629" s="357"/>
      <c r="W629" s="357"/>
      <c r="X629" s="357"/>
      <c r="Y629" s="357"/>
      <c r="Z629" s="357"/>
      <c r="AA629" s="374"/>
      <c r="AB629" s="377"/>
      <c r="AC629" s="377"/>
      <c r="AD629" s="377"/>
      <c r="AE629" s="288"/>
      <c r="AF629" s="288"/>
      <c r="AG629" s="288"/>
      <c r="AH629" s="288"/>
      <c r="AI629" s="288"/>
      <c r="AJ629" s="288"/>
      <c r="AK629" s="374"/>
      <c r="AL629" s="91"/>
      <c r="AM629" s="376"/>
      <c r="AN629" s="376"/>
      <c r="AO629" s="286"/>
      <c r="AP629" s="286"/>
      <c r="AQ629" s="286"/>
      <c r="AR629" s="286"/>
      <c r="AS629" s="286"/>
      <c r="AT629" s="286"/>
      <c r="AU629" s="261"/>
      <c r="AV629" s="371"/>
      <c r="AW629" s="91"/>
      <c r="AX629" s="91"/>
      <c r="AY629" s="286"/>
      <c r="AZ629" s="286"/>
      <c r="BA629" s="286"/>
      <c r="BB629" s="286"/>
      <c r="BC629" s="286"/>
      <c r="BD629" s="286"/>
      <c r="BE629" s="261"/>
      <c r="BF629" s="261"/>
      <c r="BG629" s="261"/>
      <c r="BH629" s="261"/>
      <c r="BI629" s="261"/>
      <c r="BJ629" s="261"/>
      <c r="BK629" s="261"/>
      <c r="BL629" s="91"/>
      <c r="BM629" s="278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  <c r="BZ629" s="91"/>
      <c r="CA629" s="91"/>
      <c r="CB629" s="91"/>
      <c r="CC629" s="91"/>
      <c r="CD629" s="91"/>
      <c r="CE629" s="91"/>
      <c r="CF629" s="91"/>
      <c r="CG629" s="91"/>
      <c r="CH629" s="91"/>
      <c r="CI629" s="91"/>
      <c r="CJ629" s="91"/>
      <c r="CK629" s="91"/>
      <c r="CL629" s="91"/>
      <c r="CM629" s="91"/>
      <c r="CN629" s="91"/>
      <c r="CO629" s="91"/>
      <c r="CP629" s="91"/>
      <c r="CQ629" s="91"/>
      <c r="CR629" s="91"/>
      <c r="CS629" s="91"/>
      <c r="CT629" s="91"/>
      <c r="CU629" s="91"/>
      <c r="CV629" s="91"/>
      <c r="CW629" s="91"/>
      <c r="CX629" s="91"/>
      <c r="CY629" s="91"/>
      <c r="CZ629" s="91"/>
      <c r="DA629" s="91"/>
      <c r="DB629" s="91"/>
      <c r="DC629" s="91"/>
      <c r="DD629" s="91"/>
      <c r="DE629" s="91"/>
      <c r="DF629" s="91"/>
      <c r="DG629" s="91"/>
      <c r="DH629" s="91"/>
      <c r="DI629" s="91"/>
      <c r="DJ629" s="91"/>
      <c r="DK629" s="91"/>
      <c r="DL629" s="91"/>
      <c r="DM629" s="91"/>
      <c r="DN629" s="91"/>
      <c r="DO629" s="91"/>
      <c r="DP629" s="91"/>
      <c r="DQ629" s="91"/>
      <c r="DR629" s="91"/>
      <c r="DS629" s="91"/>
      <c r="DT629" s="91"/>
      <c r="DU629" s="91"/>
      <c r="DV629" s="91"/>
      <c r="DW629" s="91"/>
      <c r="DX629" s="91"/>
      <c r="DY629" s="91"/>
    </row>
    <row r="630" spans="1:129" ht="15.75">
      <c r="A630" s="238"/>
      <c r="D630" s="192"/>
      <c r="E630" s="258"/>
      <c r="F630" s="193"/>
      <c r="G630" s="91"/>
      <c r="H630" s="91"/>
      <c r="I630" s="294"/>
      <c r="J630" s="193"/>
      <c r="K630" s="193"/>
      <c r="L630" s="193"/>
      <c r="M630" s="295"/>
      <c r="N630" s="91"/>
      <c r="O630" s="193"/>
      <c r="P630" s="356"/>
      <c r="Q630" s="91"/>
      <c r="R630" s="356"/>
      <c r="S630" s="357"/>
      <c r="T630" s="357"/>
      <c r="U630" s="357"/>
      <c r="V630" s="357"/>
      <c r="W630" s="357"/>
      <c r="X630" s="357"/>
      <c r="Y630" s="357"/>
      <c r="Z630" s="357"/>
      <c r="AA630" s="374"/>
      <c r="AB630" s="377"/>
      <c r="AC630" s="377"/>
      <c r="AD630" s="377"/>
      <c r="AE630" s="288"/>
      <c r="AF630" s="288"/>
      <c r="AG630" s="288"/>
      <c r="AH630" s="288"/>
      <c r="AI630" s="288"/>
      <c r="AJ630" s="288"/>
      <c r="AK630" s="374"/>
      <c r="AL630" s="91"/>
      <c r="AM630" s="376"/>
      <c r="AN630" s="376"/>
      <c r="AO630" s="286"/>
      <c r="AP630" s="286"/>
      <c r="AQ630" s="286"/>
      <c r="AR630" s="286"/>
      <c r="AS630" s="286"/>
      <c r="AT630" s="286"/>
      <c r="AU630" s="261"/>
      <c r="AV630" s="371"/>
      <c r="AW630" s="91"/>
      <c r="AX630" s="91"/>
      <c r="AY630" s="286"/>
      <c r="AZ630" s="286"/>
      <c r="BA630" s="286"/>
      <c r="BB630" s="286"/>
      <c r="BC630" s="286"/>
      <c r="BD630" s="286"/>
      <c r="BE630" s="261"/>
      <c r="BF630" s="261"/>
      <c r="BG630" s="261"/>
      <c r="BH630" s="261"/>
      <c r="BI630" s="261"/>
      <c r="BJ630" s="261"/>
      <c r="BK630" s="261"/>
      <c r="BL630" s="91"/>
      <c r="BM630" s="278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  <c r="BZ630" s="91"/>
      <c r="CA630" s="91"/>
      <c r="CB630" s="91"/>
      <c r="CC630" s="91"/>
      <c r="CD630" s="91"/>
      <c r="CE630" s="91"/>
      <c r="CF630" s="91"/>
      <c r="CG630" s="91"/>
      <c r="CH630" s="91"/>
      <c r="CI630" s="91"/>
      <c r="CJ630" s="91"/>
      <c r="CK630" s="91"/>
      <c r="CL630" s="91"/>
      <c r="CM630" s="91"/>
      <c r="CN630" s="91"/>
      <c r="CO630" s="91"/>
      <c r="CP630" s="91"/>
      <c r="CQ630" s="91"/>
      <c r="CR630" s="91"/>
      <c r="CS630" s="91"/>
      <c r="CT630" s="91"/>
      <c r="CU630" s="91"/>
      <c r="CV630" s="91"/>
      <c r="CW630" s="91"/>
      <c r="CX630" s="91"/>
      <c r="CY630" s="91"/>
      <c r="CZ630" s="91"/>
      <c r="DA630" s="91"/>
      <c r="DB630" s="91"/>
      <c r="DC630" s="91"/>
      <c r="DD630" s="91"/>
      <c r="DE630" s="91"/>
      <c r="DF630" s="91"/>
      <c r="DG630" s="91"/>
      <c r="DH630" s="91"/>
      <c r="DI630" s="91"/>
      <c r="DJ630" s="91"/>
      <c r="DK630" s="91"/>
      <c r="DL630" s="91"/>
      <c r="DM630" s="91"/>
      <c r="DN630" s="91"/>
      <c r="DO630" s="91"/>
      <c r="DP630" s="91"/>
      <c r="DQ630" s="91"/>
      <c r="DR630" s="91"/>
      <c r="DS630" s="91"/>
      <c r="DT630" s="91"/>
      <c r="DU630" s="91"/>
      <c r="DV630" s="91"/>
      <c r="DW630" s="91"/>
      <c r="DX630" s="91"/>
      <c r="DY630" s="91"/>
    </row>
    <row r="631" spans="1:129" ht="15.75">
      <c r="A631" s="238"/>
      <c r="D631" s="192"/>
      <c r="E631" s="258"/>
      <c r="F631" s="193"/>
      <c r="G631" s="91"/>
      <c r="H631" s="91"/>
      <c r="I631" s="294"/>
      <c r="J631" s="193"/>
      <c r="K631" s="193"/>
      <c r="L631" s="193"/>
      <c r="M631" s="295"/>
      <c r="N631" s="91"/>
      <c r="O631" s="193"/>
      <c r="P631" s="356"/>
      <c r="Q631" s="91"/>
      <c r="R631" s="356"/>
      <c r="S631" s="357"/>
      <c r="T631" s="357"/>
      <c r="U631" s="357"/>
      <c r="V631" s="357"/>
      <c r="W631" s="357"/>
      <c r="X631" s="357"/>
      <c r="Y631" s="357"/>
      <c r="Z631" s="357"/>
      <c r="AA631" s="374"/>
      <c r="AB631" s="377"/>
      <c r="AC631" s="377"/>
      <c r="AD631" s="377"/>
      <c r="AE631" s="288"/>
      <c r="AF631" s="288"/>
      <c r="AG631" s="288"/>
      <c r="AH631" s="288"/>
      <c r="AI631" s="288"/>
      <c r="AJ631" s="288"/>
      <c r="AK631" s="374"/>
      <c r="AL631" s="91"/>
      <c r="AM631" s="376"/>
      <c r="AN631" s="376"/>
      <c r="AO631" s="286"/>
      <c r="AP631" s="286"/>
      <c r="AQ631" s="286"/>
      <c r="AR631" s="286"/>
      <c r="AS631" s="286"/>
      <c r="AT631" s="286"/>
      <c r="AU631" s="261"/>
      <c r="AV631" s="371"/>
      <c r="AW631" s="91"/>
      <c r="AX631" s="91"/>
      <c r="AY631" s="286"/>
      <c r="AZ631" s="286"/>
      <c r="BA631" s="286"/>
      <c r="BB631" s="286"/>
      <c r="BC631" s="286"/>
      <c r="BD631" s="286"/>
      <c r="BE631" s="261"/>
      <c r="BF631" s="261"/>
      <c r="BG631" s="261"/>
      <c r="BH631" s="261"/>
      <c r="BI631" s="261"/>
      <c r="BJ631" s="261"/>
      <c r="BK631" s="261"/>
      <c r="BL631" s="91"/>
      <c r="BM631" s="278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  <c r="BZ631" s="91"/>
      <c r="CA631" s="91"/>
      <c r="CB631" s="91"/>
      <c r="CC631" s="91"/>
      <c r="CD631" s="91"/>
      <c r="CE631" s="91"/>
      <c r="CF631" s="91"/>
      <c r="CG631" s="91"/>
      <c r="CH631" s="91"/>
      <c r="CI631" s="91"/>
      <c r="CJ631" s="91"/>
      <c r="CK631" s="91"/>
      <c r="CL631" s="91"/>
      <c r="CM631" s="91"/>
      <c r="CN631" s="91"/>
      <c r="CO631" s="91"/>
      <c r="CP631" s="91"/>
      <c r="CQ631" s="91"/>
      <c r="CR631" s="91"/>
      <c r="CS631" s="91"/>
      <c r="CT631" s="91"/>
      <c r="CU631" s="91"/>
      <c r="CV631" s="91"/>
      <c r="CW631" s="91"/>
      <c r="CX631" s="91"/>
      <c r="CY631" s="91"/>
      <c r="CZ631" s="91"/>
      <c r="DA631" s="91"/>
      <c r="DB631" s="91"/>
      <c r="DC631" s="91"/>
      <c r="DD631" s="91"/>
      <c r="DE631" s="91"/>
      <c r="DF631" s="91"/>
      <c r="DG631" s="91"/>
      <c r="DH631" s="91"/>
      <c r="DI631" s="91"/>
      <c r="DJ631" s="91"/>
      <c r="DK631" s="91"/>
      <c r="DL631" s="91"/>
      <c r="DM631" s="91"/>
      <c r="DN631" s="91"/>
      <c r="DO631" s="91"/>
      <c r="DP631" s="91"/>
      <c r="DQ631" s="91"/>
      <c r="DR631" s="91"/>
      <c r="DS631" s="91"/>
      <c r="DT631" s="91"/>
      <c r="DU631" s="91"/>
      <c r="DV631" s="91"/>
      <c r="DW631" s="91"/>
      <c r="DX631" s="91"/>
      <c r="DY631" s="91"/>
    </row>
    <row r="632" spans="1:129" ht="15.75">
      <c r="A632" s="238"/>
      <c r="D632" s="192"/>
      <c r="E632" s="258"/>
      <c r="F632" s="193"/>
      <c r="G632" s="91"/>
      <c r="H632" s="91"/>
      <c r="I632" s="294"/>
      <c r="J632" s="193"/>
      <c r="K632" s="193"/>
      <c r="L632" s="193"/>
      <c r="M632" s="295"/>
      <c r="N632" s="91"/>
      <c r="O632" s="193"/>
      <c r="P632" s="356"/>
      <c r="Q632" s="91"/>
      <c r="R632" s="356"/>
      <c r="S632" s="357"/>
      <c r="T632" s="357"/>
      <c r="U632" s="357"/>
      <c r="V632" s="357"/>
      <c r="W632" s="357"/>
      <c r="X632" s="357"/>
      <c r="Y632" s="357"/>
      <c r="Z632" s="357"/>
      <c r="AA632" s="374"/>
      <c r="AB632" s="377"/>
      <c r="AC632" s="377"/>
      <c r="AD632" s="377"/>
      <c r="AE632" s="288"/>
      <c r="AF632" s="288"/>
      <c r="AG632" s="288"/>
      <c r="AH632" s="288"/>
      <c r="AI632" s="288"/>
      <c r="AJ632" s="288"/>
      <c r="AK632" s="374"/>
      <c r="AL632" s="91"/>
      <c r="AM632" s="376"/>
      <c r="AN632" s="376"/>
      <c r="AO632" s="286"/>
      <c r="AP632" s="286"/>
      <c r="AQ632" s="286"/>
      <c r="AR632" s="286"/>
      <c r="AS632" s="286"/>
      <c r="AT632" s="286"/>
      <c r="AU632" s="261"/>
      <c r="AV632" s="371"/>
      <c r="AW632" s="91"/>
      <c r="AX632" s="91"/>
      <c r="AY632" s="286"/>
      <c r="AZ632" s="286"/>
      <c r="BA632" s="286"/>
      <c r="BB632" s="286"/>
      <c r="BC632" s="286"/>
      <c r="BD632" s="286"/>
      <c r="BE632" s="261"/>
      <c r="BF632" s="261"/>
      <c r="BG632" s="261"/>
      <c r="BH632" s="261"/>
      <c r="BI632" s="261"/>
      <c r="BJ632" s="261"/>
      <c r="BK632" s="261"/>
      <c r="BL632" s="91"/>
      <c r="BM632" s="278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  <c r="BZ632" s="91"/>
      <c r="CA632" s="91"/>
      <c r="CB632" s="91"/>
      <c r="CC632" s="91"/>
      <c r="CD632" s="91"/>
      <c r="CE632" s="91"/>
      <c r="CF632" s="91"/>
      <c r="CG632" s="91"/>
      <c r="CH632" s="91"/>
      <c r="CI632" s="91"/>
      <c r="CJ632" s="91"/>
      <c r="CK632" s="91"/>
      <c r="CL632" s="91"/>
      <c r="CM632" s="91"/>
      <c r="CN632" s="91"/>
      <c r="CO632" s="91"/>
      <c r="CP632" s="91"/>
      <c r="CQ632" s="91"/>
      <c r="CR632" s="91"/>
      <c r="CS632" s="91"/>
      <c r="CT632" s="91"/>
      <c r="CU632" s="91"/>
      <c r="CV632" s="91"/>
      <c r="CW632" s="91"/>
      <c r="CX632" s="91"/>
      <c r="CY632" s="91"/>
      <c r="CZ632" s="91"/>
      <c r="DA632" s="91"/>
      <c r="DB632" s="91"/>
      <c r="DC632" s="91"/>
      <c r="DD632" s="91"/>
      <c r="DE632" s="91"/>
      <c r="DF632" s="91"/>
      <c r="DG632" s="91"/>
      <c r="DH632" s="91"/>
      <c r="DI632" s="91"/>
      <c r="DJ632" s="91"/>
      <c r="DK632" s="91"/>
      <c r="DL632" s="91"/>
      <c r="DM632" s="91"/>
      <c r="DN632" s="91"/>
      <c r="DO632" s="91"/>
      <c r="DP632" s="91"/>
      <c r="DQ632" s="91"/>
      <c r="DR632" s="91"/>
      <c r="DS632" s="91"/>
      <c r="DT632" s="91"/>
      <c r="DU632" s="91"/>
      <c r="DV632" s="91"/>
      <c r="DW632" s="91"/>
      <c r="DX632" s="91"/>
      <c r="DY632" s="91"/>
    </row>
    <row r="633" spans="1:129" ht="15.75">
      <c r="A633" s="238"/>
      <c r="D633" s="192"/>
      <c r="E633" s="258"/>
      <c r="F633" s="193"/>
      <c r="G633" s="91"/>
      <c r="H633" s="91"/>
      <c r="I633" s="294"/>
      <c r="J633" s="193"/>
      <c r="K633" s="193"/>
      <c r="L633" s="193"/>
      <c r="M633" s="295"/>
      <c r="N633" s="91"/>
      <c r="O633" s="193"/>
      <c r="P633" s="356"/>
      <c r="Q633" s="91"/>
      <c r="R633" s="356"/>
      <c r="S633" s="357"/>
      <c r="T633" s="357"/>
      <c r="U633" s="357"/>
      <c r="V633" s="357"/>
      <c r="W633" s="357"/>
      <c r="X633" s="357"/>
      <c r="Y633" s="357"/>
      <c r="Z633" s="357"/>
      <c r="AA633" s="374"/>
      <c r="AB633" s="377"/>
      <c r="AC633" s="377"/>
      <c r="AD633" s="377"/>
      <c r="AE633" s="288"/>
      <c r="AF633" s="288"/>
      <c r="AG633" s="288"/>
      <c r="AH633" s="288"/>
      <c r="AI633" s="288"/>
      <c r="AJ633" s="288"/>
      <c r="AK633" s="374"/>
      <c r="AL633" s="91"/>
      <c r="AM633" s="376"/>
      <c r="AN633" s="376"/>
      <c r="AO633" s="286"/>
      <c r="AP633" s="286"/>
      <c r="AQ633" s="286"/>
      <c r="AR633" s="286"/>
      <c r="AS633" s="286"/>
      <c r="AT633" s="286"/>
      <c r="AU633" s="261"/>
      <c r="AV633" s="371"/>
      <c r="AW633" s="91"/>
      <c r="AX633" s="91"/>
      <c r="AY633" s="286"/>
      <c r="AZ633" s="286"/>
      <c r="BA633" s="286"/>
      <c r="BB633" s="286"/>
      <c r="BC633" s="286"/>
      <c r="BD633" s="286"/>
      <c r="BE633" s="261"/>
      <c r="BF633" s="261"/>
      <c r="BG633" s="261"/>
      <c r="BH633" s="261"/>
      <c r="BI633" s="261"/>
      <c r="BJ633" s="261"/>
      <c r="BK633" s="261"/>
      <c r="BL633" s="91"/>
      <c r="BM633" s="278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  <c r="BZ633" s="91"/>
      <c r="CA633" s="91"/>
      <c r="CB633" s="91"/>
      <c r="CC633" s="91"/>
      <c r="CD633" s="91"/>
      <c r="CE633" s="91"/>
      <c r="CF633" s="91"/>
      <c r="CG633" s="91"/>
      <c r="CH633" s="91"/>
      <c r="CI633" s="91"/>
      <c r="CJ633" s="91"/>
      <c r="CK633" s="91"/>
      <c r="CL633" s="91"/>
      <c r="CM633" s="91"/>
      <c r="CN633" s="91"/>
      <c r="CO633" s="91"/>
      <c r="CP633" s="91"/>
      <c r="CQ633" s="91"/>
      <c r="CR633" s="91"/>
      <c r="CS633" s="91"/>
      <c r="CT633" s="91"/>
      <c r="CU633" s="91"/>
      <c r="CV633" s="91"/>
      <c r="CW633" s="91"/>
      <c r="CX633" s="91"/>
      <c r="CY633" s="91"/>
      <c r="CZ633" s="91"/>
      <c r="DA633" s="91"/>
      <c r="DB633" s="91"/>
      <c r="DC633" s="91"/>
      <c r="DD633" s="91"/>
      <c r="DE633" s="91"/>
      <c r="DF633" s="91"/>
      <c r="DG633" s="91"/>
      <c r="DH633" s="91"/>
      <c r="DI633" s="91"/>
      <c r="DJ633" s="91"/>
      <c r="DK633" s="91"/>
      <c r="DL633" s="91"/>
      <c r="DM633" s="91"/>
      <c r="DN633" s="91"/>
      <c r="DO633" s="91"/>
      <c r="DP633" s="91"/>
      <c r="DQ633" s="91"/>
      <c r="DR633" s="91"/>
      <c r="DS633" s="91"/>
      <c r="DT633" s="91"/>
      <c r="DU633" s="91"/>
      <c r="DV633" s="91"/>
      <c r="DW633" s="91"/>
      <c r="DX633" s="91"/>
      <c r="DY633" s="91"/>
    </row>
    <row r="634" spans="1:129" ht="15.75">
      <c r="A634" s="238"/>
      <c r="D634" s="192"/>
      <c r="E634" s="258"/>
      <c r="F634" s="193"/>
      <c r="G634" s="91"/>
      <c r="H634" s="91"/>
      <c r="I634" s="294"/>
      <c r="J634" s="193"/>
      <c r="K634" s="193"/>
      <c r="L634" s="193"/>
      <c r="M634" s="295"/>
      <c r="N634" s="91"/>
      <c r="O634" s="193"/>
      <c r="P634" s="356"/>
      <c r="Q634" s="91"/>
      <c r="R634" s="356"/>
      <c r="S634" s="357"/>
      <c r="T634" s="357"/>
      <c r="U634" s="357"/>
      <c r="V634" s="357"/>
      <c r="W634" s="357"/>
      <c r="X634" s="357"/>
      <c r="Y634" s="357"/>
      <c r="Z634" s="357"/>
      <c r="AA634" s="374"/>
      <c r="AB634" s="377"/>
      <c r="AC634" s="377"/>
      <c r="AD634" s="377"/>
      <c r="AE634" s="288"/>
      <c r="AF634" s="288"/>
      <c r="AG634" s="288"/>
      <c r="AH634" s="288"/>
      <c r="AI634" s="288"/>
      <c r="AJ634" s="288"/>
      <c r="AK634" s="374"/>
      <c r="AL634" s="91"/>
      <c r="AM634" s="376"/>
      <c r="AN634" s="376"/>
      <c r="AO634" s="286"/>
      <c r="AP634" s="286"/>
      <c r="AQ634" s="286"/>
      <c r="AR634" s="286"/>
      <c r="AS634" s="286"/>
      <c r="AT634" s="286"/>
      <c r="AU634" s="261"/>
      <c r="AV634" s="371"/>
      <c r="AW634" s="91"/>
      <c r="AX634" s="91"/>
      <c r="AY634" s="286"/>
      <c r="AZ634" s="286"/>
      <c r="BA634" s="286"/>
      <c r="BB634" s="286"/>
      <c r="BC634" s="286"/>
      <c r="BD634" s="286"/>
      <c r="BE634" s="261"/>
      <c r="BF634" s="261"/>
      <c r="BG634" s="261"/>
      <c r="BH634" s="261"/>
      <c r="BI634" s="261"/>
      <c r="BJ634" s="261"/>
      <c r="BK634" s="261"/>
      <c r="BL634" s="91"/>
      <c r="BM634" s="278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  <c r="BZ634" s="91"/>
      <c r="CA634" s="91"/>
      <c r="CB634" s="91"/>
      <c r="CC634" s="91"/>
      <c r="CD634" s="91"/>
      <c r="CE634" s="91"/>
      <c r="CF634" s="91"/>
      <c r="CG634" s="91"/>
      <c r="CH634" s="91"/>
      <c r="CI634" s="91"/>
      <c r="CJ634" s="91"/>
      <c r="CK634" s="91"/>
      <c r="CL634" s="91"/>
      <c r="CM634" s="91"/>
      <c r="CN634" s="91"/>
      <c r="CO634" s="91"/>
      <c r="CP634" s="91"/>
      <c r="CQ634" s="91"/>
      <c r="CR634" s="91"/>
      <c r="CS634" s="91"/>
      <c r="CT634" s="91"/>
      <c r="CU634" s="91"/>
      <c r="CV634" s="91"/>
      <c r="CW634" s="91"/>
      <c r="CX634" s="91"/>
      <c r="CY634" s="91"/>
      <c r="CZ634" s="91"/>
      <c r="DA634" s="91"/>
      <c r="DB634" s="91"/>
      <c r="DC634" s="91"/>
      <c r="DD634" s="91"/>
      <c r="DE634" s="91"/>
      <c r="DF634" s="91"/>
      <c r="DG634" s="91"/>
      <c r="DH634" s="91"/>
      <c r="DI634" s="91"/>
      <c r="DJ634" s="91"/>
      <c r="DK634" s="91"/>
      <c r="DL634" s="91"/>
      <c r="DM634" s="91"/>
      <c r="DN634" s="91"/>
      <c r="DO634" s="91"/>
      <c r="DP634" s="91"/>
      <c r="DQ634" s="91"/>
      <c r="DR634" s="91"/>
      <c r="DS634" s="91"/>
      <c r="DT634" s="91"/>
      <c r="DU634" s="91"/>
      <c r="DV634" s="91"/>
      <c r="DW634" s="91"/>
      <c r="DX634" s="91"/>
      <c r="DY634" s="91"/>
    </row>
    <row r="635" spans="1:129" ht="15.75">
      <c r="A635" s="238"/>
      <c r="D635" s="192"/>
      <c r="E635" s="258"/>
      <c r="F635" s="193"/>
      <c r="G635" s="91"/>
      <c r="H635" s="91"/>
      <c r="I635" s="294"/>
      <c r="J635" s="193"/>
      <c r="K635" s="193"/>
      <c r="L635" s="193"/>
      <c r="M635" s="295"/>
      <c r="N635" s="91"/>
      <c r="O635" s="193"/>
      <c r="P635" s="356"/>
      <c r="Q635" s="91"/>
      <c r="R635" s="356"/>
      <c r="S635" s="357"/>
      <c r="T635" s="357"/>
      <c r="U635" s="357"/>
      <c r="V635" s="357"/>
      <c r="W635" s="357"/>
      <c r="X635" s="357"/>
      <c r="Y635" s="357"/>
      <c r="Z635" s="357"/>
      <c r="AA635" s="374"/>
      <c r="AB635" s="377"/>
      <c r="AC635" s="377"/>
      <c r="AD635" s="377"/>
      <c r="AE635" s="288"/>
      <c r="AF635" s="288"/>
      <c r="AG635" s="288"/>
      <c r="AH635" s="288"/>
      <c r="AI635" s="288"/>
      <c r="AJ635" s="288"/>
      <c r="AK635" s="374"/>
      <c r="AL635" s="91"/>
      <c r="AM635" s="376"/>
      <c r="AN635" s="376"/>
      <c r="AO635" s="286"/>
      <c r="AP635" s="286"/>
      <c r="AQ635" s="286"/>
      <c r="AR635" s="286"/>
      <c r="AS635" s="286"/>
      <c r="AT635" s="286"/>
      <c r="AU635" s="261"/>
      <c r="AV635" s="371"/>
      <c r="AW635" s="91"/>
      <c r="AX635" s="91"/>
      <c r="AY635" s="286"/>
      <c r="AZ635" s="286"/>
      <c r="BA635" s="286"/>
      <c r="BB635" s="286"/>
      <c r="BC635" s="286"/>
      <c r="BD635" s="286"/>
      <c r="BE635" s="261"/>
      <c r="BF635" s="261"/>
      <c r="BG635" s="261"/>
      <c r="BH635" s="261"/>
      <c r="BI635" s="261"/>
      <c r="BJ635" s="261"/>
      <c r="BK635" s="261"/>
      <c r="BL635" s="91"/>
      <c r="BM635" s="278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  <c r="BZ635" s="91"/>
      <c r="CA635" s="91"/>
      <c r="CB635" s="91"/>
      <c r="CC635" s="91"/>
      <c r="CD635" s="91"/>
      <c r="CE635" s="91"/>
      <c r="CF635" s="91"/>
      <c r="CG635" s="91"/>
      <c r="CH635" s="91"/>
      <c r="CI635" s="91"/>
      <c r="CJ635" s="91"/>
      <c r="CK635" s="91"/>
      <c r="CL635" s="91"/>
      <c r="CM635" s="91"/>
      <c r="CN635" s="91"/>
      <c r="CO635" s="91"/>
      <c r="CP635" s="91"/>
      <c r="CQ635" s="91"/>
      <c r="CR635" s="91"/>
      <c r="CS635" s="91"/>
      <c r="CT635" s="91"/>
      <c r="CU635" s="91"/>
      <c r="CV635" s="91"/>
      <c r="CW635" s="91"/>
      <c r="CX635" s="91"/>
      <c r="CY635" s="91"/>
      <c r="CZ635" s="91"/>
      <c r="DA635" s="91"/>
      <c r="DB635" s="91"/>
      <c r="DC635" s="91"/>
      <c r="DD635" s="91"/>
      <c r="DE635" s="91"/>
      <c r="DF635" s="91"/>
      <c r="DG635" s="91"/>
      <c r="DH635" s="91"/>
      <c r="DI635" s="91"/>
      <c r="DJ635" s="91"/>
      <c r="DK635" s="91"/>
      <c r="DL635" s="91"/>
      <c r="DM635" s="91"/>
      <c r="DN635" s="91"/>
      <c r="DO635" s="91"/>
      <c r="DP635" s="91"/>
      <c r="DQ635" s="91"/>
      <c r="DR635" s="91"/>
      <c r="DS635" s="91"/>
      <c r="DT635" s="91"/>
      <c r="DU635" s="91"/>
      <c r="DV635" s="91"/>
      <c r="DW635" s="91"/>
      <c r="DX635" s="91"/>
      <c r="DY635" s="91"/>
    </row>
    <row r="636" spans="1:129" ht="15.75">
      <c r="A636" s="238"/>
      <c r="D636" s="192"/>
      <c r="E636" s="258"/>
      <c r="F636" s="193"/>
      <c r="G636" s="91"/>
      <c r="H636" s="91"/>
      <c r="I636" s="294"/>
      <c r="J636" s="193"/>
      <c r="K636" s="193"/>
      <c r="L636" s="193"/>
      <c r="M636" s="295"/>
      <c r="N636" s="91"/>
      <c r="O636" s="193"/>
      <c r="P636" s="356"/>
      <c r="Q636" s="91"/>
      <c r="R636" s="356"/>
      <c r="S636" s="357"/>
      <c r="T636" s="357"/>
      <c r="U636" s="357"/>
      <c r="V636" s="357"/>
      <c r="W636" s="357"/>
      <c r="X636" s="357"/>
      <c r="Y636" s="357"/>
      <c r="Z636" s="357"/>
      <c r="AA636" s="374"/>
      <c r="AB636" s="377"/>
      <c r="AC636" s="377"/>
      <c r="AD636" s="377"/>
      <c r="AE636" s="288"/>
      <c r="AF636" s="288"/>
      <c r="AG636" s="288"/>
      <c r="AH636" s="288"/>
      <c r="AI636" s="288"/>
      <c r="AJ636" s="288"/>
      <c r="AK636" s="374"/>
      <c r="AL636" s="91"/>
      <c r="AM636" s="376"/>
      <c r="AN636" s="376"/>
      <c r="AO636" s="286"/>
      <c r="AP636" s="286"/>
      <c r="AQ636" s="286"/>
      <c r="AR636" s="286"/>
      <c r="AS636" s="286"/>
      <c r="AT636" s="286"/>
      <c r="AU636" s="261"/>
      <c r="AV636" s="371"/>
      <c r="AW636" s="91"/>
      <c r="AX636" s="91"/>
      <c r="AY636" s="286"/>
      <c r="AZ636" s="286"/>
      <c r="BA636" s="286"/>
      <c r="BB636" s="286"/>
      <c r="BC636" s="286"/>
      <c r="BD636" s="286"/>
      <c r="BE636" s="261"/>
      <c r="BF636" s="261"/>
      <c r="BG636" s="261"/>
      <c r="BH636" s="261"/>
      <c r="BI636" s="261"/>
      <c r="BJ636" s="261"/>
      <c r="BK636" s="261"/>
      <c r="BL636" s="91"/>
      <c r="BM636" s="278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  <c r="BZ636" s="91"/>
      <c r="CA636" s="91"/>
      <c r="CB636" s="91"/>
      <c r="CC636" s="91"/>
      <c r="CD636" s="91"/>
      <c r="CE636" s="91"/>
      <c r="CF636" s="91"/>
      <c r="CG636" s="91"/>
      <c r="CH636" s="91"/>
      <c r="CI636" s="91"/>
      <c r="CJ636" s="91"/>
      <c r="CK636" s="91"/>
      <c r="CL636" s="91"/>
      <c r="CM636" s="91"/>
      <c r="CN636" s="91"/>
      <c r="CO636" s="91"/>
      <c r="CP636" s="91"/>
      <c r="CQ636" s="91"/>
      <c r="CR636" s="91"/>
      <c r="CS636" s="91"/>
      <c r="CT636" s="91"/>
      <c r="CU636" s="91"/>
      <c r="CV636" s="91"/>
      <c r="CW636" s="91"/>
      <c r="CX636" s="91"/>
      <c r="CY636" s="91"/>
      <c r="CZ636" s="91"/>
      <c r="DA636" s="91"/>
      <c r="DB636" s="91"/>
      <c r="DC636" s="91"/>
      <c r="DD636" s="91"/>
      <c r="DE636" s="91"/>
      <c r="DF636" s="91"/>
      <c r="DG636" s="91"/>
      <c r="DH636" s="91"/>
      <c r="DI636" s="91"/>
      <c r="DJ636" s="91"/>
      <c r="DK636" s="91"/>
      <c r="DL636" s="91"/>
      <c r="DM636" s="91"/>
      <c r="DN636" s="91"/>
      <c r="DO636" s="91"/>
      <c r="DP636" s="91"/>
      <c r="DQ636" s="91"/>
      <c r="DR636" s="91"/>
      <c r="DS636" s="91"/>
      <c r="DT636" s="91"/>
      <c r="DU636" s="91"/>
      <c r="DV636" s="91"/>
      <c r="DW636" s="91"/>
      <c r="DX636" s="91"/>
      <c r="DY636" s="91"/>
    </row>
    <row r="637" spans="1:129" ht="15.75">
      <c r="A637" s="238"/>
      <c r="D637" s="192"/>
      <c r="E637" s="258"/>
      <c r="F637" s="193"/>
      <c r="G637" s="91"/>
      <c r="H637" s="91"/>
      <c r="I637" s="294"/>
      <c r="J637" s="193"/>
      <c r="K637" s="193"/>
      <c r="L637" s="193"/>
      <c r="M637" s="295"/>
      <c r="N637" s="91"/>
      <c r="O637" s="193"/>
      <c r="P637" s="356"/>
      <c r="Q637" s="91"/>
      <c r="R637" s="356"/>
      <c r="S637" s="357"/>
      <c r="T637" s="357"/>
      <c r="U637" s="357"/>
      <c r="V637" s="357"/>
      <c r="W637" s="357"/>
      <c r="X637" s="357"/>
      <c r="Y637" s="357"/>
      <c r="Z637" s="357"/>
      <c r="AA637" s="374"/>
      <c r="AB637" s="377"/>
      <c r="AC637" s="377"/>
      <c r="AD637" s="377"/>
      <c r="AE637" s="288"/>
      <c r="AF637" s="288"/>
      <c r="AG637" s="288"/>
      <c r="AH637" s="288"/>
      <c r="AI637" s="288"/>
      <c r="AJ637" s="288"/>
      <c r="AK637" s="374"/>
      <c r="AL637" s="91"/>
      <c r="AM637" s="376"/>
      <c r="AN637" s="376"/>
      <c r="AO637" s="286"/>
      <c r="AP637" s="286"/>
      <c r="AQ637" s="286"/>
      <c r="AR637" s="286"/>
      <c r="AS637" s="286"/>
      <c r="AT637" s="286"/>
      <c r="AU637" s="261"/>
      <c r="AV637" s="371"/>
      <c r="AW637" s="91"/>
      <c r="AX637" s="91"/>
      <c r="AY637" s="286"/>
      <c r="AZ637" s="286"/>
      <c r="BA637" s="286"/>
      <c r="BB637" s="286"/>
      <c r="BC637" s="286"/>
      <c r="BD637" s="286"/>
      <c r="BE637" s="261"/>
      <c r="BF637" s="261"/>
      <c r="BG637" s="261"/>
      <c r="BH637" s="261"/>
      <c r="BI637" s="261"/>
      <c r="BJ637" s="261"/>
      <c r="BK637" s="261"/>
      <c r="BL637" s="91"/>
      <c r="BM637" s="278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  <c r="BZ637" s="91"/>
      <c r="CA637" s="91"/>
      <c r="CB637" s="91"/>
      <c r="CC637" s="91"/>
      <c r="CD637" s="91"/>
      <c r="CE637" s="91"/>
      <c r="CF637" s="91"/>
      <c r="CG637" s="91"/>
      <c r="CH637" s="91"/>
      <c r="CI637" s="91"/>
      <c r="CJ637" s="91"/>
      <c r="CK637" s="91"/>
      <c r="CL637" s="91"/>
      <c r="CM637" s="91"/>
      <c r="CN637" s="91"/>
      <c r="CO637" s="91"/>
      <c r="CP637" s="91"/>
      <c r="CQ637" s="91"/>
      <c r="CR637" s="91"/>
      <c r="CS637" s="91"/>
      <c r="CT637" s="91"/>
      <c r="CU637" s="91"/>
      <c r="CV637" s="91"/>
      <c r="CW637" s="91"/>
      <c r="CX637" s="91"/>
      <c r="CY637" s="91"/>
      <c r="CZ637" s="91"/>
      <c r="DA637" s="91"/>
      <c r="DB637" s="91"/>
      <c r="DC637" s="91"/>
      <c r="DD637" s="91"/>
      <c r="DE637" s="91"/>
      <c r="DF637" s="91"/>
      <c r="DG637" s="91"/>
      <c r="DH637" s="91"/>
      <c r="DI637" s="91"/>
      <c r="DJ637" s="91"/>
      <c r="DK637" s="91"/>
      <c r="DL637" s="91"/>
      <c r="DM637" s="91"/>
      <c r="DN637" s="91"/>
      <c r="DO637" s="91"/>
      <c r="DP637" s="91"/>
      <c r="DQ637" s="91"/>
      <c r="DR637" s="91"/>
      <c r="DS637" s="91"/>
      <c r="DT637" s="91"/>
      <c r="DU637" s="91"/>
      <c r="DV637" s="91"/>
      <c r="DW637" s="91"/>
      <c r="DX637" s="91"/>
      <c r="DY637" s="91"/>
    </row>
    <row r="638" spans="1:129" ht="15.75">
      <c r="A638" s="238"/>
      <c r="D638" s="192"/>
      <c r="E638" s="258"/>
      <c r="F638" s="193"/>
      <c r="G638" s="91"/>
      <c r="H638" s="91"/>
      <c r="I638" s="294"/>
      <c r="J638" s="193"/>
      <c r="K638" s="193"/>
      <c r="L638" s="193"/>
      <c r="M638" s="295"/>
      <c r="N638" s="91"/>
      <c r="O638" s="193"/>
      <c r="P638" s="356"/>
      <c r="Q638" s="91"/>
      <c r="R638" s="356"/>
      <c r="S638" s="357"/>
      <c r="T638" s="357"/>
      <c r="U638" s="357"/>
      <c r="V638" s="357"/>
      <c r="W638" s="357"/>
      <c r="X638" s="357"/>
      <c r="Y638" s="357"/>
      <c r="Z638" s="357"/>
      <c r="AA638" s="374"/>
      <c r="AB638" s="377"/>
      <c r="AC638" s="377"/>
      <c r="AD638" s="377"/>
      <c r="AE638" s="288"/>
      <c r="AF638" s="288"/>
      <c r="AG638" s="288"/>
      <c r="AH638" s="288"/>
      <c r="AI638" s="288"/>
      <c r="AJ638" s="288"/>
      <c r="AK638" s="374"/>
      <c r="AL638" s="91"/>
      <c r="AM638" s="376"/>
      <c r="AN638" s="376"/>
      <c r="AO638" s="286"/>
      <c r="AP638" s="286"/>
      <c r="AQ638" s="286"/>
      <c r="AR638" s="286"/>
      <c r="AS638" s="286"/>
      <c r="AT638" s="286"/>
      <c r="AU638" s="261"/>
      <c r="AV638" s="371"/>
      <c r="AW638" s="91"/>
      <c r="AX638" s="91"/>
      <c r="AY638" s="286"/>
      <c r="AZ638" s="286"/>
      <c r="BA638" s="286"/>
      <c r="BB638" s="286"/>
      <c r="BC638" s="286"/>
      <c r="BD638" s="286"/>
      <c r="BE638" s="261"/>
      <c r="BF638" s="261"/>
      <c r="BG638" s="261"/>
      <c r="BH638" s="261"/>
      <c r="BI638" s="261"/>
      <c r="BJ638" s="261"/>
      <c r="BK638" s="261"/>
      <c r="BL638" s="91"/>
      <c r="BM638" s="278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  <c r="BZ638" s="91"/>
      <c r="CA638" s="91"/>
      <c r="CB638" s="91"/>
      <c r="CC638" s="91"/>
      <c r="CD638" s="91"/>
      <c r="CE638" s="91"/>
      <c r="CF638" s="91"/>
      <c r="CG638" s="91"/>
      <c r="CH638" s="91"/>
      <c r="CI638" s="91"/>
      <c r="CJ638" s="91"/>
      <c r="CK638" s="91"/>
      <c r="CL638" s="91"/>
      <c r="CM638" s="91"/>
      <c r="CN638" s="91"/>
      <c r="CO638" s="91"/>
      <c r="CP638" s="91"/>
      <c r="CQ638" s="91"/>
      <c r="CR638" s="91"/>
      <c r="CS638" s="91"/>
      <c r="CT638" s="91"/>
      <c r="CU638" s="91"/>
      <c r="CV638" s="91"/>
      <c r="CW638" s="91"/>
      <c r="CX638" s="91"/>
      <c r="CY638" s="91"/>
      <c r="CZ638" s="91"/>
      <c r="DA638" s="91"/>
      <c r="DB638" s="91"/>
      <c r="DC638" s="91"/>
      <c r="DD638" s="91"/>
      <c r="DE638" s="91"/>
      <c r="DF638" s="91"/>
      <c r="DG638" s="91"/>
      <c r="DH638" s="91"/>
      <c r="DI638" s="91"/>
      <c r="DJ638" s="91"/>
      <c r="DK638" s="91"/>
      <c r="DL638" s="91"/>
      <c r="DM638" s="91"/>
      <c r="DN638" s="91"/>
      <c r="DO638" s="91"/>
      <c r="DP638" s="91"/>
      <c r="DQ638" s="91"/>
      <c r="DR638" s="91"/>
      <c r="DS638" s="91"/>
      <c r="DT638" s="91"/>
      <c r="DU638" s="91"/>
      <c r="DV638" s="91"/>
      <c r="DW638" s="91"/>
      <c r="DX638" s="91"/>
      <c r="DY638" s="91"/>
    </row>
    <row r="639" spans="1:129" ht="15.75">
      <c r="A639" s="238"/>
      <c r="D639" s="192"/>
      <c r="E639" s="258"/>
      <c r="F639" s="193"/>
      <c r="G639" s="91"/>
      <c r="H639" s="91"/>
      <c r="I639" s="294"/>
      <c r="J639" s="193"/>
      <c r="K639" s="193"/>
      <c r="L639" s="193"/>
      <c r="M639" s="295"/>
      <c r="N639" s="91"/>
      <c r="O639" s="193"/>
      <c r="P639" s="356"/>
      <c r="Q639" s="91"/>
      <c r="R639" s="356"/>
      <c r="S639" s="357"/>
      <c r="T639" s="357"/>
      <c r="U639" s="357"/>
      <c r="V639" s="357"/>
      <c r="W639" s="357"/>
      <c r="X639" s="357"/>
      <c r="Y639" s="357"/>
      <c r="Z639" s="357"/>
      <c r="AA639" s="374"/>
      <c r="AB639" s="377"/>
      <c r="AC639" s="377"/>
      <c r="AD639" s="377"/>
      <c r="AE639" s="288"/>
      <c r="AF639" s="288"/>
      <c r="AG639" s="288"/>
      <c r="AH639" s="288"/>
      <c r="AI639" s="288"/>
      <c r="AJ639" s="288"/>
      <c r="AK639" s="374"/>
      <c r="AL639" s="91"/>
      <c r="AM639" s="376"/>
      <c r="AN639" s="376"/>
      <c r="AO639" s="286"/>
      <c r="AP639" s="286"/>
      <c r="AQ639" s="286"/>
      <c r="AR639" s="286"/>
      <c r="AS639" s="286"/>
      <c r="AT639" s="286"/>
      <c r="AU639" s="261"/>
      <c r="AV639" s="371"/>
      <c r="AW639" s="91"/>
      <c r="AX639" s="91"/>
      <c r="AY639" s="286"/>
      <c r="AZ639" s="286"/>
      <c r="BA639" s="286"/>
      <c r="BB639" s="286"/>
      <c r="BC639" s="286"/>
      <c r="BD639" s="286"/>
      <c r="BE639" s="261"/>
      <c r="BF639" s="261"/>
      <c r="BG639" s="261"/>
      <c r="BH639" s="261"/>
      <c r="BI639" s="261"/>
      <c r="BJ639" s="261"/>
      <c r="BK639" s="261"/>
      <c r="BL639" s="91"/>
      <c r="BM639" s="278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  <c r="BZ639" s="91"/>
      <c r="CA639" s="91"/>
      <c r="CB639" s="91"/>
      <c r="CC639" s="91"/>
      <c r="CD639" s="91"/>
      <c r="CE639" s="91"/>
      <c r="CF639" s="91"/>
      <c r="CG639" s="91"/>
      <c r="CH639" s="91"/>
      <c r="CI639" s="91"/>
      <c r="CJ639" s="91"/>
      <c r="CK639" s="91"/>
      <c r="CL639" s="91"/>
      <c r="CM639" s="91"/>
      <c r="CN639" s="91"/>
      <c r="CO639" s="91"/>
      <c r="CP639" s="91"/>
      <c r="CQ639" s="91"/>
      <c r="CR639" s="91"/>
      <c r="CS639" s="91"/>
      <c r="CT639" s="91"/>
      <c r="CU639" s="91"/>
      <c r="CV639" s="91"/>
      <c r="CW639" s="91"/>
      <c r="CX639" s="91"/>
      <c r="CY639" s="91"/>
      <c r="CZ639" s="91"/>
      <c r="DA639" s="91"/>
      <c r="DB639" s="91"/>
      <c r="DC639" s="91"/>
      <c r="DD639" s="91"/>
      <c r="DE639" s="91"/>
      <c r="DF639" s="91"/>
      <c r="DG639" s="91"/>
      <c r="DH639" s="91"/>
      <c r="DI639" s="91"/>
      <c r="DJ639" s="91"/>
      <c r="DK639" s="91"/>
      <c r="DL639" s="91"/>
      <c r="DM639" s="91"/>
      <c r="DN639" s="91"/>
      <c r="DO639" s="91"/>
      <c r="DP639" s="91"/>
      <c r="DQ639" s="91"/>
      <c r="DR639" s="91"/>
      <c r="DS639" s="91"/>
      <c r="DT639" s="91"/>
      <c r="DU639" s="91"/>
      <c r="DV639" s="91"/>
      <c r="DW639" s="91"/>
      <c r="DX639" s="91"/>
      <c r="DY639" s="91"/>
    </row>
    <row r="640" spans="1:129" ht="15.75">
      <c r="A640" s="238"/>
      <c r="D640" s="192"/>
      <c r="E640" s="258"/>
      <c r="F640" s="193"/>
      <c r="G640" s="91"/>
      <c r="H640" s="91"/>
      <c r="I640" s="294"/>
      <c r="J640" s="193"/>
      <c r="K640" s="193"/>
      <c r="L640" s="193"/>
      <c r="M640" s="295"/>
      <c r="N640" s="91"/>
      <c r="O640" s="193"/>
      <c r="P640" s="356"/>
      <c r="Q640" s="91"/>
      <c r="R640" s="356"/>
      <c r="S640" s="357"/>
      <c r="T640" s="357"/>
      <c r="U640" s="357"/>
      <c r="V640" s="357"/>
      <c r="W640" s="357"/>
      <c r="X640" s="357"/>
      <c r="Y640" s="357"/>
      <c r="Z640" s="357"/>
      <c r="AA640" s="374"/>
      <c r="AB640" s="377"/>
      <c r="AC640" s="377"/>
      <c r="AD640" s="377"/>
      <c r="AE640" s="288"/>
      <c r="AF640" s="288"/>
      <c r="AG640" s="288"/>
      <c r="AH640" s="288"/>
      <c r="AI640" s="288"/>
      <c r="AJ640" s="288"/>
      <c r="AK640" s="374"/>
      <c r="AL640" s="91"/>
      <c r="AM640" s="376"/>
      <c r="AN640" s="376"/>
      <c r="AO640" s="286"/>
      <c r="AP640" s="286"/>
      <c r="AQ640" s="286"/>
      <c r="AR640" s="286"/>
      <c r="AS640" s="286"/>
      <c r="AT640" s="286"/>
      <c r="AU640" s="261"/>
      <c r="AV640" s="371"/>
      <c r="AW640" s="91"/>
      <c r="AX640" s="91"/>
      <c r="AY640" s="286"/>
      <c r="AZ640" s="286"/>
      <c r="BA640" s="286"/>
      <c r="BB640" s="286"/>
      <c r="BC640" s="286"/>
      <c r="BD640" s="286"/>
      <c r="BE640" s="261"/>
      <c r="BF640" s="261"/>
      <c r="BG640" s="261"/>
      <c r="BH640" s="261"/>
      <c r="BI640" s="261"/>
      <c r="BJ640" s="261"/>
      <c r="BK640" s="261"/>
      <c r="BL640" s="91"/>
      <c r="BM640" s="278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  <c r="BZ640" s="91"/>
      <c r="CA640" s="91"/>
      <c r="CB640" s="91"/>
      <c r="CC640" s="91"/>
      <c r="CD640" s="91"/>
      <c r="CE640" s="91"/>
      <c r="CF640" s="91"/>
      <c r="CG640" s="91"/>
      <c r="CH640" s="91"/>
      <c r="CI640" s="91"/>
      <c r="CJ640" s="91"/>
      <c r="CK640" s="91"/>
      <c r="CL640" s="91"/>
      <c r="CM640" s="91"/>
      <c r="CN640" s="91"/>
      <c r="CO640" s="91"/>
      <c r="CP640" s="91"/>
      <c r="CQ640" s="91"/>
      <c r="CR640" s="91"/>
      <c r="CS640" s="91"/>
      <c r="CT640" s="91"/>
      <c r="CU640" s="91"/>
      <c r="CV640" s="91"/>
      <c r="CW640" s="91"/>
      <c r="CX640" s="91"/>
      <c r="CY640" s="91"/>
      <c r="CZ640" s="91"/>
      <c r="DA640" s="91"/>
      <c r="DB640" s="91"/>
      <c r="DC640" s="91"/>
      <c r="DD640" s="91"/>
      <c r="DE640" s="91"/>
      <c r="DF640" s="91"/>
      <c r="DG640" s="91"/>
      <c r="DH640" s="91"/>
      <c r="DI640" s="91"/>
      <c r="DJ640" s="91"/>
      <c r="DK640" s="91"/>
      <c r="DL640" s="91"/>
      <c r="DM640" s="91"/>
      <c r="DN640" s="91"/>
      <c r="DO640" s="91"/>
      <c r="DP640" s="91"/>
      <c r="DQ640" s="91"/>
      <c r="DR640" s="91"/>
      <c r="DS640" s="91"/>
      <c r="DT640" s="91"/>
      <c r="DU640" s="91"/>
      <c r="DV640" s="91"/>
      <c r="DW640" s="91"/>
      <c r="DX640" s="91"/>
      <c r="DY640" s="91"/>
    </row>
    <row r="641" spans="1:129" ht="15.75">
      <c r="A641" s="238"/>
      <c r="D641" s="192"/>
      <c r="E641" s="258"/>
      <c r="F641" s="193"/>
      <c r="G641" s="91"/>
      <c r="H641" s="91"/>
      <c r="I641" s="294"/>
      <c r="J641" s="193"/>
      <c r="K641" s="193"/>
      <c r="L641" s="193"/>
      <c r="M641" s="295"/>
      <c r="N641" s="91"/>
      <c r="O641" s="193"/>
      <c r="P641" s="356"/>
      <c r="Q641" s="91"/>
      <c r="R641" s="356"/>
      <c r="S641" s="357"/>
      <c r="T641" s="357"/>
      <c r="U641" s="357"/>
      <c r="V641" s="357"/>
      <c r="W641" s="357"/>
      <c r="X641" s="357"/>
      <c r="Y641" s="357"/>
      <c r="Z641" s="357"/>
      <c r="AA641" s="374"/>
      <c r="AB641" s="377"/>
      <c r="AC641" s="377"/>
      <c r="AD641" s="377"/>
      <c r="AE641" s="288"/>
      <c r="AF641" s="288"/>
      <c r="AG641" s="288"/>
      <c r="AH641" s="288"/>
      <c r="AI641" s="288"/>
      <c r="AJ641" s="288"/>
      <c r="AK641" s="374"/>
      <c r="AL641" s="91"/>
      <c r="AM641" s="376"/>
      <c r="AN641" s="376"/>
      <c r="AO641" s="286"/>
      <c r="AP641" s="286"/>
      <c r="AQ641" s="286"/>
      <c r="AR641" s="286"/>
      <c r="AS641" s="286"/>
      <c r="AT641" s="286"/>
      <c r="AU641" s="261"/>
      <c r="AV641" s="371"/>
      <c r="AW641" s="91"/>
      <c r="AX641" s="91"/>
      <c r="AY641" s="286"/>
      <c r="AZ641" s="286"/>
      <c r="BA641" s="286"/>
      <c r="BB641" s="286"/>
      <c r="BC641" s="286"/>
      <c r="BD641" s="286"/>
      <c r="BE641" s="261"/>
      <c r="BF641" s="261"/>
      <c r="BG641" s="261"/>
      <c r="BH641" s="261"/>
      <c r="BI641" s="261"/>
      <c r="BJ641" s="261"/>
      <c r="BK641" s="261"/>
      <c r="BL641" s="91"/>
      <c r="BM641" s="278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  <c r="BZ641" s="91"/>
      <c r="CA641" s="91"/>
      <c r="CB641" s="91"/>
      <c r="CC641" s="91"/>
      <c r="CD641" s="91"/>
      <c r="CE641" s="91"/>
      <c r="CF641" s="91"/>
      <c r="CG641" s="91"/>
      <c r="CH641" s="91"/>
      <c r="CI641" s="91"/>
      <c r="CJ641" s="91"/>
      <c r="CK641" s="91"/>
      <c r="CL641" s="91"/>
      <c r="CM641" s="91"/>
      <c r="CN641" s="91"/>
      <c r="CO641" s="91"/>
      <c r="CP641" s="91"/>
      <c r="CQ641" s="91"/>
      <c r="CR641" s="91"/>
      <c r="CS641" s="91"/>
      <c r="CT641" s="91"/>
      <c r="CU641" s="91"/>
      <c r="CV641" s="91"/>
      <c r="CW641" s="91"/>
      <c r="CX641" s="91"/>
      <c r="CY641" s="91"/>
      <c r="CZ641" s="91"/>
      <c r="DA641" s="91"/>
      <c r="DB641" s="91"/>
      <c r="DC641" s="91"/>
      <c r="DD641" s="91"/>
      <c r="DE641" s="91"/>
      <c r="DF641" s="91"/>
      <c r="DG641" s="91"/>
      <c r="DH641" s="91"/>
      <c r="DI641" s="91"/>
      <c r="DJ641" s="91"/>
      <c r="DK641" s="91"/>
      <c r="DL641" s="91"/>
      <c r="DM641" s="91"/>
      <c r="DN641" s="91"/>
      <c r="DO641" s="91"/>
      <c r="DP641" s="91"/>
      <c r="DQ641" s="91"/>
      <c r="DR641" s="91"/>
      <c r="DS641" s="91"/>
      <c r="DT641" s="91"/>
      <c r="DU641" s="91"/>
      <c r="DV641" s="91"/>
      <c r="DW641" s="91"/>
      <c r="DX641" s="91"/>
      <c r="DY641" s="91"/>
    </row>
    <row r="642" spans="1:129" ht="15.75">
      <c r="A642" s="238"/>
      <c r="D642" s="192"/>
      <c r="E642" s="258"/>
      <c r="F642" s="193"/>
      <c r="G642" s="91"/>
      <c r="H642" s="91"/>
      <c r="I642" s="294"/>
      <c r="J642" s="193"/>
      <c r="K642" s="193"/>
      <c r="L642" s="193"/>
      <c r="M642" s="295"/>
      <c r="N642" s="91"/>
      <c r="O642" s="193"/>
      <c r="P642" s="356"/>
      <c r="Q642" s="91"/>
      <c r="R642" s="356"/>
      <c r="S642" s="357"/>
      <c r="T642" s="357"/>
      <c r="U642" s="357"/>
      <c r="V642" s="357"/>
      <c r="W642" s="357"/>
      <c r="X642" s="357"/>
      <c r="Y642" s="357"/>
      <c r="Z642" s="357"/>
      <c r="AA642" s="374"/>
      <c r="AB642" s="377"/>
      <c r="AC642" s="377"/>
      <c r="AD642" s="377"/>
      <c r="AE642" s="288"/>
      <c r="AF642" s="288"/>
      <c r="AG642" s="288"/>
      <c r="AH642" s="288"/>
      <c r="AI642" s="288"/>
      <c r="AJ642" s="288"/>
      <c r="AK642" s="374"/>
      <c r="AL642" s="91"/>
      <c r="AM642" s="376"/>
      <c r="AN642" s="376"/>
      <c r="AO642" s="286"/>
      <c r="AP642" s="286"/>
      <c r="AQ642" s="286"/>
      <c r="AR642" s="286"/>
      <c r="AS642" s="286"/>
      <c r="AT642" s="286"/>
      <c r="AU642" s="261"/>
      <c r="AV642" s="371"/>
      <c r="AW642" s="91"/>
      <c r="AX642" s="91"/>
      <c r="AY642" s="286"/>
      <c r="AZ642" s="286"/>
      <c r="BA642" s="286"/>
      <c r="BB642" s="286"/>
      <c r="BC642" s="286"/>
      <c r="BD642" s="286"/>
      <c r="BE642" s="261"/>
      <c r="BF642" s="261"/>
      <c r="BG642" s="261"/>
      <c r="BH642" s="261"/>
      <c r="BI642" s="261"/>
      <c r="BJ642" s="261"/>
      <c r="BK642" s="261"/>
      <c r="BL642" s="91"/>
      <c r="BM642" s="278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  <c r="BZ642" s="91"/>
      <c r="CA642" s="91"/>
      <c r="CB642" s="91"/>
      <c r="CC642" s="91"/>
      <c r="CD642" s="91"/>
      <c r="CE642" s="91"/>
      <c r="CF642" s="91"/>
      <c r="CG642" s="91"/>
      <c r="CH642" s="91"/>
      <c r="CI642" s="91"/>
      <c r="CJ642" s="91"/>
      <c r="CK642" s="91"/>
      <c r="CL642" s="91"/>
      <c r="CM642" s="91"/>
      <c r="CN642" s="91"/>
      <c r="CO642" s="91"/>
      <c r="CP642" s="91"/>
      <c r="CQ642" s="91"/>
      <c r="CR642" s="91"/>
      <c r="CS642" s="91"/>
      <c r="CT642" s="91"/>
      <c r="CU642" s="91"/>
      <c r="CV642" s="91"/>
      <c r="CW642" s="91"/>
      <c r="CX642" s="91"/>
      <c r="CY642" s="91"/>
      <c r="CZ642" s="91"/>
      <c r="DA642" s="91"/>
      <c r="DB642" s="91"/>
      <c r="DC642" s="91"/>
      <c r="DD642" s="91"/>
      <c r="DE642" s="91"/>
      <c r="DF642" s="91"/>
      <c r="DG642" s="91"/>
      <c r="DH642" s="91"/>
      <c r="DI642" s="91"/>
      <c r="DJ642" s="91"/>
      <c r="DK642" s="91"/>
      <c r="DL642" s="91"/>
      <c r="DM642" s="91"/>
      <c r="DN642" s="91"/>
      <c r="DO642" s="91"/>
      <c r="DP642" s="91"/>
      <c r="DQ642" s="91"/>
      <c r="DR642" s="91"/>
      <c r="DS642" s="91"/>
      <c r="DT642" s="91"/>
      <c r="DU642" s="91"/>
      <c r="DV642" s="91"/>
      <c r="DW642" s="91"/>
      <c r="DX642" s="91"/>
      <c r="DY642" s="91"/>
    </row>
    <row r="643" spans="1:129" ht="15.75">
      <c r="A643" s="238"/>
      <c r="D643" s="192"/>
      <c r="E643" s="258"/>
      <c r="F643" s="193"/>
      <c r="G643" s="91"/>
      <c r="H643" s="91"/>
      <c r="I643" s="294"/>
      <c r="J643" s="193"/>
      <c r="K643" s="193"/>
      <c r="L643" s="193"/>
      <c r="M643" s="295"/>
      <c r="N643" s="91"/>
      <c r="O643" s="193"/>
      <c r="P643" s="356"/>
      <c r="Q643" s="91"/>
      <c r="R643" s="356"/>
      <c r="S643" s="357"/>
      <c r="T643" s="357"/>
      <c r="U643" s="357"/>
      <c r="V643" s="357"/>
      <c r="W643" s="357"/>
      <c r="X643" s="357"/>
      <c r="Y643" s="357"/>
      <c r="Z643" s="357"/>
      <c r="AA643" s="374"/>
      <c r="AB643" s="377"/>
      <c r="AC643" s="377"/>
      <c r="AD643" s="377"/>
      <c r="AE643" s="288"/>
      <c r="AF643" s="288"/>
      <c r="AG643" s="288"/>
      <c r="AH643" s="288"/>
      <c r="AI643" s="288"/>
      <c r="AJ643" s="288"/>
      <c r="AK643" s="374"/>
      <c r="AL643" s="91"/>
      <c r="AM643" s="376"/>
      <c r="AN643" s="376"/>
      <c r="AO643" s="286"/>
      <c r="AP643" s="286"/>
      <c r="AQ643" s="286"/>
      <c r="AR643" s="286"/>
      <c r="AS643" s="286"/>
      <c r="AT643" s="286"/>
      <c r="AU643" s="261"/>
      <c r="AV643" s="371"/>
      <c r="AW643" s="91"/>
      <c r="AX643" s="91"/>
      <c r="AY643" s="286"/>
      <c r="AZ643" s="286"/>
      <c r="BA643" s="286"/>
      <c r="BB643" s="286"/>
      <c r="BC643" s="286"/>
      <c r="BD643" s="286"/>
      <c r="BE643" s="261"/>
      <c r="BF643" s="261"/>
      <c r="BG643" s="261"/>
      <c r="BH643" s="261"/>
      <c r="BI643" s="261"/>
      <c r="BJ643" s="261"/>
      <c r="BK643" s="261"/>
      <c r="BL643" s="91"/>
      <c r="BM643" s="278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  <c r="BZ643" s="91"/>
      <c r="CA643" s="91"/>
      <c r="CB643" s="91"/>
      <c r="CC643" s="91"/>
      <c r="CD643" s="91"/>
      <c r="CE643" s="91"/>
      <c r="CF643" s="91"/>
      <c r="CG643" s="91"/>
      <c r="CH643" s="91"/>
      <c r="CI643" s="91"/>
      <c r="CJ643" s="91"/>
      <c r="CK643" s="91"/>
      <c r="CL643" s="91"/>
      <c r="CM643" s="91"/>
      <c r="CN643" s="91"/>
      <c r="CO643" s="91"/>
      <c r="CP643" s="91"/>
      <c r="CQ643" s="91"/>
      <c r="CR643" s="91"/>
      <c r="CS643" s="91"/>
      <c r="CT643" s="91"/>
      <c r="CU643" s="91"/>
      <c r="CV643" s="91"/>
      <c r="CW643" s="91"/>
      <c r="CX643" s="91"/>
      <c r="CY643" s="91"/>
      <c r="CZ643" s="91"/>
      <c r="DA643" s="91"/>
      <c r="DB643" s="91"/>
      <c r="DC643" s="91"/>
      <c r="DD643" s="91"/>
      <c r="DE643" s="91"/>
      <c r="DF643" s="91"/>
      <c r="DG643" s="91"/>
      <c r="DH643" s="91"/>
      <c r="DI643" s="91"/>
      <c r="DJ643" s="91"/>
      <c r="DK643" s="91"/>
      <c r="DL643" s="91"/>
      <c r="DM643" s="91"/>
      <c r="DN643" s="91"/>
      <c r="DO643" s="91"/>
      <c r="DP643" s="91"/>
      <c r="DQ643" s="91"/>
      <c r="DR643" s="91"/>
      <c r="DS643" s="91"/>
      <c r="DT643" s="91"/>
      <c r="DU643" s="91"/>
      <c r="DV643" s="91"/>
      <c r="DW643" s="91"/>
      <c r="DX643" s="91"/>
      <c r="DY643" s="91"/>
    </row>
    <row r="644" spans="1:129" ht="15.75">
      <c r="A644" s="238"/>
      <c r="D644" s="192"/>
      <c r="E644" s="258"/>
      <c r="F644" s="193"/>
      <c r="G644" s="91"/>
      <c r="H644" s="91"/>
      <c r="I644" s="294"/>
      <c r="J644" s="193"/>
      <c r="K644" s="193"/>
      <c r="L644" s="193"/>
      <c r="M644" s="295"/>
      <c r="N644" s="91"/>
      <c r="O644" s="193"/>
      <c r="P644" s="356"/>
      <c r="Q644" s="91"/>
      <c r="R644" s="356"/>
      <c r="S644" s="357"/>
      <c r="T644" s="357"/>
      <c r="U644" s="357"/>
      <c r="V644" s="357"/>
      <c r="W644" s="357"/>
      <c r="X644" s="357"/>
      <c r="Y644" s="357"/>
      <c r="Z644" s="357"/>
      <c r="AA644" s="374"/>
      <c r="AB644" s="377"/>
      <c r="AC644" s="377"/>
      <c r="AD644" s="377"/>
      <c r="AE644" s="288"/>
      <c r="AF644" s="288"/>
      <c r="AG644" s="288"/>
      <c r="AH644" s="288"/>
      <c r="AI644" s="288"/>
      <c r="AJ644" s="288"/>
      <c r="AK644" s="374"/>
      <c r="AL644" s="91"/>
      <c r="AM644" s="376"/>
      <c r="AN644" s="376"/>
      <c r="AO644" s="286"/>
      <c r="AP644" s="286"/>
      <c r="AQ644" s="286"/>
      <c r="AR644" s="286"/>
      <c r="AS644" s="286"/>
      <c r="AT644" s="286"/>
      <c r="AU644" s="261"/>
      <c r="AV644" s="371"/>
      <c r="AW644" s="91"/>
      <c r="AX644" s="91"/>
      <c r="AY644" s="286"/>
      <c r="AZ644" s="286"/>
      <c r="BA644" s="286"/>
      <c r="BB644" s="286"/>
      <c r="BC644" s="286"/>
      <c r="BD644" s="286"/>
      <c r="BE644" s="261"/>
      <c r="BF644" s="261"/>
      <c r="BG644" s="261"/>
      <c r="BH644" s="261"/>
      <c r="BI644" s="261"/>
      <c r="BJ644" s="261"/>
      <c r="BK644" s="261"/>
      <c r="BL644" s="91"/>
      <c r="BM644" s="278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  <c r="BZ644" s="91"/>
      <c r="CA644" s="91"/>
      <c r="CB644" s="91"/>
      <c r="CC644" s="91"/>
      <c r="CD644" s="91"/>
      <c r="CE644" s="91"/>
      <c r="CF644" s="91"/>
      <c r="CG644" s="91"/>
      <c r="CH644" s="91"/>
      <c r="CI644" s="91"/>
      <c r="CJ644" s="91"/>
      <c r="CK644" s="91"/>
      <c r="CL644" s="91"/>
      <c r="CM644" s="91"/>
      <c r="CN644" s="91"/>
      <c r="CO644" s="91"/>
      <c r="CP644" s="91"/>
      <c r="CQ644" s="91"/>
      <c r="CR644" s="91"/>
      <c r="CS644" s="91"/>
      <c r="CT644" s="91"/>
      <c r="CU644" s="91"/>
      <c r="CV644" s="91"/>
      <c r="CW644" s="91"/>
      <c r="CX644" s="91"/>
      <c r="CY644" s="91"/>
      <c r="CZ644" s="91"/>
      <c r="DA644" s="91"/>
      <c r="DB644" s="91"/>
      <c r="DC644" s="91"/>
      <c r="DD644" s="91"/>
      <c r="DE644" s="91"/>
      <c r="DF644" s="91"/>
      <c r="DG644" s="91"/>
      <c r="DH644" s="91"/>
      <c r="DI644" s="91"/>
      <c r="DJ644" s="91"/>
      <c r="DK644" s="91"/>
      <c r="DL644" s="91"/>
      <c r="DM644" s="91"/>
      <c r="DN644" s="91"/>
      <c r="DO644" s="91"/>
      <c r="DP644" s="91"/>
      <c r="DQ644" s="91"/>
      <c r="DR644" s="91"/>
      <c r="DS644" s="91"/>
      <c r="DT644" s="91"/>
      <c r="DU644" s="91"/>
      <c r="DV644" s="91"/>
      <c r="DW644" s="91"/>
      <c r="DX644" s="91"/>
      <c r="DY644" s="91"/>
    </row>
    <row r="645" spans="1:129" ht="15.75">
      <c r="A645" s="238"/>
      <c r="D645" s="192"/>
      <c r="E645" s="258"/>
      <c r="F645" s="193"/>
      <c r="G645" s="91"/>
      <c r="H645" s="91"/>
      <c r="I645" s="294"/>
      <c r="J645" s="193"/>
      <c r="K645" s="193"/>
      <c r="L645" s="193"/>
      <c r="M645" s="295"/>
      <c r="N645" s="91"/>
      <c r="O645" s="193"/>
      <c r="P645" s="356"/>
      <c r="Q645" s="91"/>
      <c r="R645" s="356"/>
      <c r="S645" s="357"/>
      <c r="T645" s="357"/>
      <c r="U645" s="357"/>
      <c r="V645" s="357"/>
      <c r="W645" s="357"/>
      <c r="X645" s="357"/>
      <c r="Y645" s="357"/>
      <c r="Z645" s="357"/>
      <c r="AA645" s="374"/>
      <c r="AB645" s="377"/>
      <c r="AC645" s="377"/>
      <c r="AD645" s="377"/>
      <c r="AE645" s="288"/>
      <c r="AF645" s="288"/>
      <c r="AG645" s="288"/>
      <c r="AH645" s="288"/>
      <c r="AI645" s="288"/>
      <c r="AJ645" s="288"/>
      <c r="AK645" s="374"/>
      <c r="AL645" s="91"/>
      <c r="AM645" s="376"/>
      <c r="AN645" s="376"/>
      <c r="AO645" s="286"/>
      <c r="AP645" s="286"/>
      <c r="AQ645" s="286"/>
      <c r="AR645" s="286"/>
      <c r="AS645" s="286"/>
      <c r="AT645" s="286"/>
      <c r="AU645" s="261"/>
      <c r="AV645" s="371"/>
      <c r="AW645" s="91"/>
      <c r="AX645" s="91"/>
      <c r="AY645" s="286"/>
      <c r="AZ645" s="286"/>
      <c r="BA645" s="286"/>
      <c r="BB645" s="286"/>
      <c r="BC645" s="286"/>
      <c r="BD645" s="286"/>
      <c r="BE645" s="261"/>
      <c r="BF645" s="261"/>
      <c r="BG645" s="261"/>
      <c r="BH645" s="261"/>
      <c r="BI645" s="261"/>
      <c r="BJ645" s="261"/>
      <c r="BK645" s="261"/>
      <c r="BL645" s="91"/>
      <c r="BM645" s="278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  <c r="BZ645" s="91"/>
      <c r="CA645" s="91"/>
      <c r="CB645" s="91"/>
      <c r="CC645" s="91"/>
      <c r="CD645" s="91"/>
      <c r="CE645" s="91"/>
      <c r="CF645" s="91"/>
      <c r="CG645" s="91"/>
      <c r="CH645" s="91"/>
      <c r="CI645" s="91"/>
      <c r="CJ645" s="91"/>
      <c r="CK645" s="91"/>
      <c r="CL645" s="91"/>
      <c r="CM645" s="91"/>
      <c r="CN645" s="91"/>
      <c r="CO645" s="91"/>
      <c r="CP645" s="91"/>
      <c r="CQ645" s="91"/>
      <c r="CR645" s="91"/>
      <c r="CS645" s="91"/>
      <c r="CT645" s="91"/>
      <c r="CU645" s="91"/>
      <c r="CV645" s="91"/>
      <c r="CW645" s="91"/>
      <c r="CX645" s="91"/>
      <c r="CY645" s="91"/>
      <c r="CZ645" s="91"/>
      <c r="DA645" s="91"/>
      <c r="DB645" s="91"/>
      <c r="DC645" s="91"/>
      <c r="DD645" s="91"/>
      <c r="DE645" s="91"/>
      <c r="DF645" s="91"/>
      <c r="DG645" s="91"/>
      <c r="DH645" s="91"/>
      <c r="DI645" s="91"/>
      <c r="DJ645" s="91"/>
      <c r="DK645" s="91"/>
      <c r="DL645" s="91"/>
      <c r="DM645" s="91"/>
      <c r="DN645" s="91"/>
      <c r="DO645" s="91"/>
      <c r="DP645" s="91"/>
      <c r="DQ645" s="91"/>
      <c r="DR645" s="91"/>
      <c r="DS645" s="91"/>
      <c r="DT645" s="91"/>
      <c r="DU645" s="91"/>
      <c r="DV645" s="91"/>
      <c r="DW645" s="91"/>
      <c r="DX645" s="91"/>
      <c r="DY645" s="91"/>
    </row>
    <row r="646" spans="1:129" ht="15.75">
      <c r="A646" s="238"/>
      <c r="D646" s="192"/>
      <c r="E646" s="258"/>
      <c r="F646" s="193"/>
      <c r="G646" s="91"/>
      <c r="H646" s="91"/>
      <c r="I646" s="294"/>
      <c r="J646" s="193"/>
      <c r="K646" s="193"/>
      <c r="L646" s="193"/>
      <c r="M646" s="295"/>
      <c r="N646" s="91"/>
      <c r="O646" s="193"/>
      <c r="P646" s="356"/>
      <c r="Q646" s="91"/>
      <c r="R646" s="356"/>
      <c r="S646" s="357"/>
      <c r="T646" s="357"/>
      <c r="U646" s="357"/>
      <c r="V646" s="357"/>
      <c r="W646" s="357"/>
      <c r="X646" s="357"/>
      <c r="Y646" s="357"/>
      <c r="Z646" s="357"/>
      <c r="AA646" s="374"/>
      <c r="AB646" s="377"/>
      <c r="AC646" s="377"/>
      <c r="AD646" s="377"/>
      <c r="AE646" s="288"/>
      <c r="AF646" s="288"/>
      <c r="AG646" s="288"/>
      <c r="AH646" s="288"/>
      <c r="AI646" s="288"/>
      <c r="AJ646" s="288"/>
      <c r="AK646" s="374"/>
      <c r="AL646" s="91"/>
      <c r="AM646" s="376"/>
      <c r="AN646" s="376"/>
      <c r="AO646" s="286"/>
      <c r="AP646" s="286"/>
      <c r="AQ646" s="286"/>
      <c r="AR646" s="286"/>
      <c r="AS646" s="286"/>
      <c r="AT646" s="286"/>
      <c r="AU646" s="261"/>
      <c r="AV646" s="371"/>
      <c r="AW646" s="91"/>
      <c r="AX646" s="91"/>
      <c r="AY646" s="286"/>
      <c r="AZ646" s="286"/>
      <c r="BA646" s="286"/>
      <c r="BB646" s="286"/>
      <c r="BC646" s="286"/>
      <c r="BD646" s="286"/>
      <c r="BE646" s="261"/>
      <c r="BF646" s="261"/>
      <c r="BG646" s="261"/>
      <c r="BH646" s="261"/>
      <c r="BI646" s="261"/>
      <c r="BJ646" s="261"/>
      <c r="BK646" s="261"/>
      <c r="BL646" s="91"/>
      <c r="BM646" s="278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  <c r="BZ646" s="91"/>
      <c r="CA646" s="91"/>
      <c r="CB646" s="91"/>
      <c r="CC646" s="91"/>
      <c r="CD646" s="91"/>
      <c r="CE646" s="91"/>
      <c r="CF646" s="91"/>
      <c r="CG646" s="91"/>
      <c r="CH646" s="91"/>
      <c r="CI646" s="91"/>
      <c r="CJ646" s="91"/>
      <c r="CK646" s="91"/>
      <c r="CL646" s="91"/>
      <c r="CM646" s="91"/>
      <c r="CN646" s="91"/>
      <c r="CO646" s="91"/>
      <c r="CP646" s="91"/>
      <c r="CQ646" s="91"/>
      <c r="CR646" s="91"/>
      <c r="CS646" s="91"/>
      <c r="CT646" s="91"/>
      <c r="CU646" s="91"/>
      <c r="CV646" s="91"/>
      <c r="CW646" s="91"/>
      <c r="CX646" s="91"/>
      <c r="CY646" s="91"/>
      <c r="CZ646" s="91"/>
      <c r="DA646" s="91"/>
      <c r="DB646" s="91"/>
      <c r="DC646" s="91"/>
      <c r="DD646" s="91"/>
      <c r="DE646" s="91"/>
      <c r="DF646" s="91"/>
      <c r="DG646" s="91"/>
      <c r="DH646" s="91"/>
      <c r="DI646" s="91"/>
      <c r="DJ646" s="91"/>
      <c r="DK646" s="91"/>
      <c r="DL646" s="91"/>
      <c r="DM646" s="91"/>
      <c r="DN646" s="91"/>
      <c r="DO646" s="91"/>
      <c r="DP646" s="91"/>
      <c r="DQ646" s="91"/>
      <c r="DR646" s="91"/>
      <c r="DS646" s="91"/>
      <c r="DT646" s="91"/>
      <c r="DU646" s="91"/>
      <c r="DV646" s="91"/>
      <c r="DW646" s="91"/>
      <c r="DX646" s="91"/>
      <c r="DY646" s="91"/>
    </row>
    <row r="647" spans="1:129" ht="15.75">
      <c r="A647" s="238"/>
      <c r="D647" s="192"/>
      <c r="E647" s="258"/>
      <c r="F647" s="193"/>
      <c r="G647" s="91"/>
      <c r="H647" s="91"/>
      <c r="I647" s="294"/>
      <c r="J647" s="193"/>
      <c r="K647" s="193"/>
      <c r="L647" s="193"/>
      <c r="M647" s="295"/>
      <c r="N647" s="91"/>
      <c r="O647" s="193"/>
      <c r="P647" s="356"/>
      <c r="Q647" s="91"/>
      <c r="R647" s="356"/>
      <c r="S647" s="357"/>
      <c r="T647" s="357"/>
      <c r="U647" s="357"/>
      <c r="V647" s="357"/>
      <c r="W647" s="357"/>
      <c r="X647" s="357"/>
      <c r="Y647" s="357"/>
      <c r="Z647" s="357"/>
      <c r="AA647" s="374"/>
      <c r="AB647" s="377"/>
      <c r="AC647" s="377"/>
      <c r="AD647" s="377"/>
      <c r="AE647" s="288"/>
      <c r="AF647" s="288"/>
      <c r="AG647" s="288"/>
      <c r="AH647" s="288"/>
      <c r="AI647" s="288"/>
      <c r="AJ647" s="288"/>
      <c r="AK647" s="374"/>
      <c r="AL647" s="91"/>
      <c r="AM647" s="376"/>
      <c r="AN647" s="376"/>
      <c r="AO647" s="286"/>
      <c r="AP647" s="286"/>
      <c r="AQ647" s="286"/>
      <c r="AR647" s="286"/>
      <c r="AS647" s="286"/>
      <c r="AT647" s="286"/>
      <c r="AU647" s="261"/>
      <c r="AV647" s="371"/>
      <c r="AW647" s="91"/>
      <c r="AX647" s="91"/>
      <c r="AY647" s="286"/>
      <c r="AZ647" s="286"/>
      <c r="BA647" s="286"/>
      <c r="BB647" s="286"/>
      <c r="BC647" s="286"/>
      <c r="BD647" s="286"/>
      <c r="BE647" s="261"/>
      <c r="BF647" s="261"/>
      <c r="BG647" s="261"/>
      <c r="BH647" s="261"/>
      <c r="BI647" s="261"/>
      <c r="BJ647" s="261"/>
      <c r="BK647" s="261"/>
      <c r="BL647" s="91"/>
      <c r="BM647" s="278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  <c r="BZ647" s="91"/>
      <c r="CA647" s="91"/>
      <c r="CB647" s="91"/>
      <c r="CC647" s="91"/>
      <c r="CD647" s="91"/>
      <c r="CE647" s="91"/>
      <c r="CF647" s="91"/>
      <c r="CG647" s="91"/>
      <c r="CH647" s="91"/>
      <c r="CI647" s="91"/>
      <c r="CJ647" s="91"/>
      <c r="CK647" s="91"/>
      <c r="CL647" s="91"/>
      <c r="CM647" s="91"/>
      <c r="CN647" s="91"/>
      <c r="CO647" s="91"/>
      <c r="CP647" s="91"/>
      <c r="CQ647" s="91"/>
      <c r="CR647" s="91"/>
      <c r="CS647" s="91"/>
      <c r="CT647" s="91"/>
      <c r="CU647" s="91"/>
      <c r="CV647" s="91"/>
      <c r="CW647" s="91"/>
      <c r="CX647" s="91"/>
      <c r="CY647" s="91"/>
      <c r="CZ647" s="91"/>
      <c r="DA647" s="91"/>
      <c r="DB647" s="91"/>
      <c r="DC647" s="91"/>
      <c r="DD647" s="91"/>
      <c r="DE647" s="91"/>
      <c r="DF647" s="91"/>
      <c r="DG647" s="91"/>
      <c r="DH647" s="91"/>
      <c r="DI647" s="91"/>
      <c r="DJ647" s="91"/>
      <c r="DK647" s="91"/>
      <c r="DL647" s="91"/>
      <c r="DM647" s="91"/>
      <c r="DN647" s="91"/>
      <c r="DO647" s="91"/>
      <c r="DP647" s="91"/>
      <c r="DQ647" s="91"/>
      <c r="DR647" s="91"/>
      <c r="DS647" s="91"/>
      <c r="DT647" s="91"/>
      <c r="DU647" s="91"/>
      <c r="DV647" s="91"/>
      <c r="DW647" s="91"/>
      <c r="DX647" s="91"/>
      <c r="DY647" s="91"/>
    </row>
    <row r="648" spans="1:129" ht="15.75">
      <c r="A648" s="238"/>
      <c r="D648" s="192"/>
      <c r="E648" s="258"/>
      <c r="F648" s="193"/>
      <c r="G648" s="91"/>
      <c r="H648" s="91"/>
      <c r="I648" s="294"/>
      <c r="J648" s="193"/>
      <c r="K648" s="193"/>
      <c r="L648" s="193"/>
      <c r="M648" s="295"/>
      <c r="N648" s="91"/>
      <c r="O648" s="193"/>
      <c r="P648" s="356"/>
      <c r="Q648" s="91"/>
      <c r="R648" s="356"/>
      <c r="S648" s="357"/>
      <c r="T648" s="357"/>
      <c r="U648" s="357"/>
      <c r="V648" s="357"/>
      <c r="W648" s="357"/>
      <c r="X648" s="357"/>
      <c r="Y648" s="357"/>
      <c r="Z648" s="357"/>
      <c r="AA648" s="374"/>
      <c r="AB648" s="377"/>
      <c r="AC648" s="377"/>
      <c r="AD648" s="377"/>
      <c r="AE648" s="288"/>
      <c r="AF648" s="288"/>
      <c r="AG648" s="288"/>
      <c r="AH648" s="288"/>
      <c r="AI648" s="288"/>
      <c r="AJ648" s="288"/>
      <c r="AK648" s="374"/>
      <c r="AL648" s="91"/>
      <c r="AM648" s="376"/>
      <c r="AN648" s="376"/>
      <c r="AO648" s="286"/>
      <c r="AP648" s="286"/>
      <c r="AQ648" s="286"/>
      <c r="AR648" s="286"/>
      <c r="AS648" s="286"/>
      <c r="AT648" s="286"/>
      <c r="AU648" s="261"/>
      <c r="AV648" s="371"/>
      <c r="AW648" s="91"/>
      <c r="AX648" s="91"/>
      <c r="AY648" s="286"/>
      <c r="AZ648" s="286"/>
      <c r="BA648" s="286"/>
      <c r="BB648" s="286"/>
      <c r="BC648" s="286"/>
      <c r="BD648" s="286"/>
      <c r="BE648" s="261"/>
      <c r="BF648" s="261"/>
      <c r="BG648" s="261"/>
      <c r="BH648" s="261"/>
      <c r="BI648" s="261"/>
      <c r="BJ648" s="261"/>
      <c r="BK648" s="261"/>
      <c r="BL648" s="91"/>
      <c r="BM648" s="278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  <c r="BZ648" s="91"/>
      <c r="CA648" s="91"/>
      <c r="CB648" s="91"/>
      <c r="CC648" s="91"/>
      <c r="CD648" s="91"/>
      <c r="CE648" s="91"/>
      <c r="CF648" s="91"/>
      <c r="CG648" s="91"/>
      <c r="CH648" s="91"/>
      <c r="CI648" s="91"/>
      <c r="CJ648" s="91"/>
      <c r="CK648" s="91"/>
      <c r="CL648" s="91"/>
      <c r="CM648" s="91"/>
      <c r="CN648" s="91"/>
      <c r="CO648" s="91"/>
      <c r="CP648" s="91"/>
      <c r="CQ648" s="91"/>
      <c r="CR648" s="91"/>
      <c r="CS648" s="91"/>
      <c r="CT648" s="91"/>
      <c r="CU648" s="91"/>
      <c r="CV648" s="91"/>
      <c r="CW648" s="91"/>
      <c r="CX648" s="91"/>
      <c r="CY648" s="91"/>
      <c r="CZ648" s="91"/>
      <c r="DA648" s="91"/>
      <c r="DB648" s="91"/>
      <c r="DC648" s="91"/>
      <c r="DD648" s="91"/>
      <c r="DE648" s="91"/>
      <c r="DF648" s="91"/>
      <c r="DG648" s="91"/>
      <c r="DH648" s="91"/>
      <c r="DI648" s="91"/>
      <c r="DJ648" s="91"/>
      <c r="DK648" s="91"/>
      <c r="DL648" s="91"/>
      <c r="DM648" s="91"/>
      <c r="DN648" s="91"/>
      <c r="DO648" s="91"/>
      <c r="DP648" s="91"/>
      <c r="DQ648" s="91"/>
      <c r="DR648" s="91"/>
      <c r="DS648" s="91"/>
      <c r="DT648" s="91"/>
      <c r="DU648" s="91"/>
      <c r="DV648" s="91"/>
      <c r="DW648" s="91"/>
      <c r="DX648" s="91"/>
      <c r="DY648" s="91"/>
    </row>
    <row r="649" spans="1:129" ht="15.75">
      <c r="A649" s="238"/>
      <c r="D649" s="192"/>
      <c r="E649" s="258"/>
      <c r="F649" s="193"/>
      <c r="G649" s="91"/>
      <c r="H649" s="91"/>
      <c r="I649" s="294"/>
      <c r="J649" s="193"/>
      <c r="K649" s="193"/>
      <c r="L649" s="193"/>
      <c r="M649" s="295"/>
      <c r="N649" s="91"/>
      <c r="O649" s="193"/>
      <c r="P649" s="356"/>
      <c r="Q649" s="91"/>
      <c r="R649" s="356"/>
      <c r="S649" s="357"/>
      <c r="T649" s="357"/>
      <c r="U649" s="357"/>
      <c r="V649" s="357"/>
      <c r="W649" s="357"/>
      <c r="X649" s="357"/>
      <c r="Y649" s="357"/>
      <c r="Z649" s="357"/>
      <c r="AA649" s="374"/>
      <c r="AB649" s="377"/>
      <c r="AC649" s="377"/>
      <c r="AD649" s="377"/>
      <c r="AE649" s="288"/>
      <c r="AF649" s="288"/>
      <c r="AG649" s="288"/>
      <c r="AH649" s="288"/>
      <c r="AI649" s="288"/>
      <c r="AJ649" s="288"/>
      <c r="AK649" s="374"/>
      <c r="AL649" s="91"/>
      <c r="AM649" s="376"/>
      <c r="AN649" s="376"/>
      <c r="AO649" s="286"/>
      <c r="AP649" s="286"/>
      <c r="AQ649" s="286"/>
      <c r="AR649" s="286"/>
      <c r="AS649" s="286"/>
      <c r="AT649" s="286"/>
      <c r="AU649" s="261"/>
      <c r="AV649" s="371"/>
      <c r="AW649" s="91"/>
      <c r="AX649" s="91"/>
      <c r="AY649" s="286"/>
      <c r="AZ649" s="286"/>
      <c r="BA649" s="286"/>
      <c r="BB649" s="286"/>
      <c r="BC649" s="286"/>
      <c r="BD649" s="286"/>
      <c r="BE649" s="261"/>
      <c r="BF649" s="261"/>
      <c r="BG649" s="261"/>
      <c r="BH649" s="261"/>
      <c r="BI649" s="261"/>
      <c r="BJ649" s="261"/>
      <c r="BK649" s="261"/>
      <c r="BL649" s="91"/>
      <c r="BM649" s="278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  <c r="BZ649" s="91"/>
      <c r="CA649" s="91"/>
      <c r="CB649" s="91"/>
      <c r="CC649" s="91"/>
      <c r="CD649" s="91"/>
      <c r="CE649" s="91"/>
      <c r="CF649" s="91"/>
      <c r="CG649" s="91"/>
      <c r="CH649" s="91"/>
      <c r="CI649" s="91"/>
      <c r="CJ649" s="91"/>
      <c r="CK649" s="91"/>
      <c r="CL649" s="91"/>
      <c r="CM649" s="91"/>
      <c r="CN649" s="91"/>
      <c r="CO649" s="91"/>
      <c r="CP649" s="91"/>
      <c r="CQ649" s="91"/>
      <c r="CR649" s="91"/>
      <c r="CS649" s="91"/>
      <c r="CT649" s="91"/>
      <c r="CU649" s="91"/>
      <c r="CV649" s="91"/>
      <c r="CW649" s="91"/>
      <c r="CX649" s="91"/>
      <c r="CY649" s="91"/>
      <c r="CZ649" s="91"/>
      <c r="DA649" s="91"/>
      <c r="DB649" s="91"/>
      <c r="DC649" s="91"/>
      <c r="DD649" s="91"/>
      <c r="DE649" s="91"/>
      <c r="DF649" s="91"/>
      <c r="DG649" s="91"/>
      <c r="DH649" s="91"/>
      <c r="DI649" s="91"/>
      <c r="DJ649" s="91"/>
      <c r="DK649" s="91"/>
      <c r="DL649" s="91"/>
      <c r="DM649" s="91"/>
      <c r="DN649" s="91"/>
      <c r="DO649" s="91"/>
      <c r="DP649" s="91"/>
      <c r="DQ649" s="91"/>
      <c r="DR649" s="91"/>
      <c r="DS649" s="91"/>
      <c r="DT649" s="91"/>
      <c r="DU649" s="91"/>
      <c r="DV649" s="91"/>
      <c r="DW649" s="91"/>
      <c r="DX649" s="91"/>
      <c r="DY649" s="91"/>
    </row>
    <row r="650" spans="1:129" ht="15.75">
      <c r="A650" s="238"/>
      <c r="D650" s="192"/>
      <c r="E650" s="258"/>
      <c r="F650" s="193"/>
      <c r="G650" s="91"/>
      <c r="H650" s="91"/>
      <c r="I650" s="294"/>
      <c r="J650" s="193"/>
      <c r="K650" s="193"/>
      <c r="L650" s="193"/>
      <c r="M650" s="295"/>
      <c r="N650" s="91"/>
      <c r="O650" s="193"/>
      <c r="P650" s="356"/>
      <c r="Q650" s="91"/>
      <c r="R650" s="356"/>
      <c r="S650" s="357"/>
      <c r="T650" s="357"/>
      <c r="U650" s="357"/>
      <c r="V650" s="357"/>
      <c r="W650" s="357"/>
      <c r="X650" s="357"/>
      <c r="Y650" s="357"/>
      <c r="Z650" s="357"/>
      <c r="AA650" s="374"/>
      <c r="AB650" s="377"/>
      <c r="AC650" s="377"/>
      <c r="AD650" s="377"/>
      <c r="AE650" s="288"/>
      <c r="AF650" s="288"/>
      <c r="AG650" s="288"/>
      <c r="AH650" s="288"/>
      <c r="AI650" s="288"/>
      <c r="AJ650" s="288"/>
      <c r="AK650" s="374"/>
      <c r="AL650" s="91"/>
      <c r="AM650" s="376"/>
      <c r="AN650" s="376"/>
      <c r="AO650" s="286"/>
      <c r="AP650" s="286"/>
      <c r="AQ650" s="286"/>
      <c r="AR650" s="286"/>
      <c r="AS650" s="286"/>
      <c r="AT650" s="286"/>
      <c r="AU650" s="261"/>
      <c r="AV650" s="371"/>
      <c r="AW650" s="91"/>
      <c r="AX650" s="91"/>
      <c r="AY650" s="286"/>
      <c r="AZ650" s="286"/>
      <c r="BA650" s="286"/>
      <c r="BB650" s="286"/>
      <c r="BC650" s="286"/>
      <c r="BD650" s="286"/>
      <c r="BE650" s="261"/>
      <c r="BF650" s="261"/>
      <c r="BG650" s="261"/>
      <c r="BH650" s="261"/>
      <c r="BI650" s="261"/>
      <c r="BJ650" s="261"/>
      <c r="BK650" s="261"/>
      <c r="BL650" s="91"/>
      <c r="BM650" s="278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  <c r="BZ650" s="91"/>
      <c r="CA650" s="91"/>
      <c r="CB650" s="91"/>
      <c r="CC650" s="91"/>
      <c r="CD650" s="91"/>
      <c r="CE650" s="91"/>
      <c r="CF650" s="91"/>
      <c r="CG650" s="91"/>
      <c r="CH650" s="91"/>
      <c r="CI650" s="91"/>
      <c r="CJ650" s="91"/>
      <c r="CK650" s="91"/>
      <c r="CL650" s="91"/>
      <c r="CM650" s="91"/>
      <c r="CN650" s="91"/>
      <c r="CO650" s="91"/>
      <c r="CP650" s="91"/>
      <c r="CQ650" s="91"/>
      <c r="CR650" s="91"/>
      <c r="CS650" s="91"/>
      <c r="CT650" s="91"/>
      <c r="CU650" s="91"/>
      <c r="CV650" s="91"/>
      <c r="CW650" s="91"/>
      <c r="CX650" s="91"/>
      <c r="CY650" s="91"/>
      <c r="CZ650" s="91"/>
      <c r="DA650" s="91"/>
      <c r="DB650" s="91"/>
      <c r="DC650" s="91"/>
      <c r="DD650" s="91"/>
      <c r="DE650" s="91"/>
      <c r="DF650" s="91"/>
      <c r="DG650" s="91"/>
      <c r="DH650" s="91"/>
      <c r="DI650" s="91"/>
      <c r="DJ650" s="91"/>
      <c r="DK650" s="91"/>
      <c r="DL650" s="91"/>
      <c r="DM650" s="91"/>
      <c r="DN650" s="91"/>
      <c r="DO650" s="91"/>
      <c r="DP650" s="91"/>
      <c r="DQ650" s="91"/>
      <c r="DR650" s="91"/>
      <c r="DS650" s="91"/>
      <c r="DT650" s="91"/>
      <c r="DU650" s="91"/>
      <c r="DV650" s="91"/>
      <c r="DW650" s="91"/>
      <c r="DX650" s="91"/>
      <c r="DY650" s="91"/>
    </row>
    <row r="651" spans="1:129" ht="15.75">
      <c r="A651" s="238"/>
      <c r="D651" s="192"/>
      <c r="E651" s="258"/>
      <c r="F651" s="193"/>
      <c r="G651" s="91"/>
      <c r="H651" s="91"/>
      <c r="I651" s="294"/>
      <c r="J651" s="193"/>
      <c r="K651" s="193"/>
      <c r="L651" s="193"/>
      <c r="M651" s="295"/>
      <c r="N651" s="91"/>
      <c r="O651" s="193"/>
      <c r="P651" s="356"/>
      <c r="Q651" s="91"/>
      <c r="R651" s="356"/>
      <c r="S651" s="357"/>
      <c r="T651" s="357"/>
      <c r="U651" s="357"/>
      <c r="V651" s="357"/>
      <c r="W651" s="357"/>
      <c r="X651" s="357"/>
      <c r="Y651" s="357"/>
      <c r="Z651" s="357"/>
      <c r="AA651" s="374"/>
      <c r="AB651" s="377"/>
      <c r="AC651" s="377"/>
      <c r="AD651" s="377"/>
      <c r="AE651" s="288"/>
      <c r="AF651" s="288"/>
      <c r="AG651" s="288"/>
      <c r="AH651" s="288"/>
      <c r="AI651" s="288"/>
      <c r="AJ651" s="288"/>
      <c r="AK651" s="374"/>
      <c r="AL651" s="91"/>
      <c r="AM651" s="376"/>
      <c r="AN651" s="376"/>
      <c r="AO651" s="286"/>
      <c r="AP651" s="286"/>
      <c r="AQ651" s="286"/>
      <c r="AR651" s="286"/>
      <c r="AS651" s="286"/>
      <c r="AT651" s="286"/>
      <c r="AU651" s="261"/>
      <c r="AV651" s="371"/>
      <c r="AW651" s="91"/>
      <c r="AX651" s="91"/>
      <c r="AY651" s="286"/>
      <c r="AZ651" s="286"/>
      <c r="BA651" s="286"/>
      <c r="BB651" s="286"/>
      <c r="BC651" s="286"/>
      <c r="BD651" s="286"/>
      <c r="BE651" s="261"/>
      <c r="BF651" s="261"/>
      <c r="BG651" s="261"/>
      <c r="BH651" s="261"/>
      <c r="BI651" s="261"/>
      <c r="BJ651" s="261"/>
      <c r="BK651" s="261"/>
      <c r="BL651" s="91"/>
      <c r="BM651" s="278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  <c r="BZ651" s="91"/>
      <c r="CA651" s="91"/>
      <c r="CB651" s="91"/>
      <c r="CC651" s="91"/>
      <c r="CD651" s="91"/>
      <c r="CE651" s="91"/>
      <c r="CF651" s="91"/>
      <c r="CG651" s="91"/>
      <c r="CH651" s="91"/>
      <c r="CI651" s="91"/>
      <c r="CJ651" s="91"/>
      <c r="CK651" s="91"/>
      <c r="CL651" s="91"/>
      <c r="CM651" s="91"/>
      <c r="CN651" s="91"/>
      <c r="CO651" s="91"/>
      <c r="CP651" s="91"/>
      <c r="CQ651" s="91"/>
      <c r="CR651" s="91"/>
      <c r="CS651" s="91"/>
      <c r="CT651" s="91"/>
      <c r="CU651" s="91"/>
      <c r="CV651" s="91"/>
      <c r="CW651" s="91"/>
      <c r="CX651" s="91"/>
      <c r="CY651" s="91"/>
      <c r="CZ651" s="91"/>
      <c r="DA651" s="91"/>
      <c r="DB651" s="91"/>
      <c r="DC651" s="91"/>
      <c r="DD651" s="91"/>
      <c r="DE651" s="91"/>
      <c r="DF651" s="91"/>
      <c r="DG651" s="91"/>
      <c r="DH651" s="91"/>
      <c r="DI651" s="91"/>
      <c r="DJ651" s="91"/>
      <c r="DK651" s="91"/>
      <c r="DL651" s="91"/>
      <c r="DM651" s="91"/>
      <c r="DN651" s="91"/>
      <c r="DO651" s="91"/>
      <c r="DP651" s="91"/>
      <c r="DQ651" s="91"/>
      <c r="DR651" s="91"/>
      <c r="DS651" s="91"/>
      <c r="DT651" s="91"/>
      <c r="DU651" s="91"/>
      <c r="DV651" s="91"/>
      <c r="DW651" s="91"/>
      <c r="DX651" s="91"/>
      <c r="DY651" s="91"/>
    </row>
    <row r="652" spans="1:129" ht="15.75">
      <c r="A652" s="238"/>
      <c r="D652" s="192"/>
      <c r="E652" s="258"/>
      <c r="F652" s="193"/>
      <c r="G652" s="91"/>
      <c r="H652" s="91"/>
      <c r="I652" s="294"/>
      <c r="J652" s="193"/>
      <c r="K652" s="193"/>
      <c r="L652" s="193"/>
      <c r="M652" s="295"/>
      <c r="N652" s="91"/>
      <c r="O652" s="193"/>
      <c r="P652" s="356"/>
      <c r="Q652" s="91"/>
      <c r="R652" s="356"/>
      <c r="S652" s="357"/>
      <c r="T652" s="357"/>
      <c r="U652" s="357"/>
      <c r="V652" s="357"/>
      <c r="W652" s="357"/>
      <c r="X652" s="357"/>
      <c r="Y652" s="357"/>
      <c r="Z652" s="357"/>
      <c r="AA652" s="374"/>
      <c r="AB652" s="377"/>
      <c r="AC652" s="377"/>
      <c r="AD652" s="377"/>
      <c r="AE652" s="288"/>
      <c r="AF652" s="288"/>
      <c r="AG652" s="288"/>
      <c r="AH652" s="288"/>
      <c r="AI652" s="288"/>
      <c r="AJ652" s="288"/>
      <c r="AK652" s="374"/>
      <c r="AL652" s="91"/>
      <c r="AM652" s="376"/>
      <c r="AN652" s="376"/>
      <c r="AO652" s="286"/>
      <c r="AP652" s="286"/>
      <c r="AQ652" s="286"/>
      <c r="AR652" s="286"/>
      <c r="AS652" s="286"/>
      <c r="AT652" s="286"/>
      <c r="AU652" s="261"/>
      <c r="AV652" s="371"/>
      <c r="AW652" s="91"/>
      <c r="AX652" s="91"/>
      <c r="AY652" s="286"/>
      <c r="AZ652" s="286"/>
      <c r="BA652" s="286"/>
      <c r="BB652" s="286"/>
      <c r="BC652" s="286"/>
      <c r="BD652" s="286"/>
      <c r="BE652" s="261"/>
      <c r="BF652" s="261"/>
      <c r="BG652" s="261"/>
      <c r="BH652" s="261"/>
      <c r="BI652" s="261"/>
      <c r="BJ652" s="261"/>
      <c r="BK652" s="261"/>
      <c r="BL652" s="91"/>
      <c r="BM652" s="278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  <c r="BZ652" s="91"/>
      <c r="CA652" s="91"/>
      <c r="CB652" s="91"/>
      <c r="CC652" s="91"/>
      <c r="CD652" s="91"/>
      <c r="CE652" s="91"/>
      <c r="CF652" s="91"/>
      <c r="CG652" s="91"/>
      <c r="CH652" s="91"/>
      <c r="CI652" s="91"/>
      <c r="CJ652" s="91"/>
      <c r="CK652" s="91"/>
      <c r="CL652" s="91"/>
      <c r="CM652" s="91"/>
      <c r="CN652" s="91"/>
      <c r="CO652" s="91"/>
      <c r="CP652" s="91"/>
      <c r="CQ652" s="91"/>
      <c r="CR652" s="91"/>
      <c r="CS652" s="91"/>
      <c r="CT652" s="91"/>
      <c r="CU652" s="91"/>
      <c r="CV652" s="91"/>
      <c r="CW652" s="91"/>
      <c r="CX652" s="91"/>
      <c r="CY652" s="91"/>
      <c r="CZ652" s="91"/>
      <c r="DA652" s="91"/>
      <c r="DB652" s="91"/>
      <c r="DC652" s="91"/>
      <c r="DD652" s="91"/>
      <c r="DE652" s="91"/>
      <c r="DF652" s="91"/>
      <c r="DG652" s="91"/>
      <c r="DH652" s="91"/>
      <c r="DI652" s="91"/>
      <c r="DJ652" s="91"/>
      <c r="DK652" s="91"/>
      <c r="DL652" s="91"/>
      <c r="DM652" s="91"/>
      <c r="DN652" s="91"/>
      <c r="DO652" s="91"/>
      <c r="DP652" s="91"/>
      <c r="DQ652" s="91"/>
      <c r="DR652" s="91"/>
      <c r="DS652" s="91"/>
      <c r="DT652" s="91"/>
      <c r="DU652" s="91"/>
      <c r="DV652" s="91"/>
      <c r="DW652" s="91"/>
      <c r="DX652" s="91"/>
      <c r="DY652" s="91"/>
    </row>
    <row r="653" spans="1:129" ht="15.75">
      <c r="A653" s="238"/>
      <c r="D653" s="192"/>
      <c r="E653" s="258"/>
      <c r="F653" s="193"/>
      <c r="G653" s="91"/>
      <c r="H653" s="91"/>
      <c r="I653" s="294"/>
      <c r="J653" s="193"/>
      <c r="K653" s="193"/>
      <c r="L653" s="193"/>
      <c r="M653" s="295"/>
      <c r="N653" s="91"/>
      <c r="O653" s="193"/>
      <c r="P653" s="356"/>
      <c r="Q653" s="91"/>
      <c r="R653" s="356"/>
      <c r="S653" s="357"/>
      <c r="T653" s="357"/>
      <c r="U653" s="357"/>
      <c r="V653" s="357"/>
      <c r="W653" s="357"/>
      <c r="X653" s="357"/>
      <c r="Y653" s="357"/>
      <c r="Z653" s="357"/>
      <c r="AA653" s="374"/>
      <c r="AB653" s="377"/>
      <c r="AC653" s="377"/>
      <c r="AD653" s="377"/>
      <c r="AE653" s="288"/>
      <c r="AF653" s="288"/>
      <c r="AG653" s="288"/>
      <c r="AH653" s="288"/>
      <c r="AI653" s="288"/>
      <c r="AJ653" s="288"/>
      <c r="AK653" s="374"/>
      <c r="AL653" s="91"/>
      <c r="AM653" s="376"/>
      <c r="AN653" s="376"/>
      <c r="AO653" s="286"/>
      <c r="AP653" s="286"/>
      <c r="AQ653" s="286"/>
      <c r="AR653" s="286"/>
      <c r="AS653" s="286"/>
      <c r="AT653" s="286"/>
      <c r="AU653" s="261"/>
      <c r="AV653" s="371"/>
      <c r="AW653" s="91"/>
      <c r="AX653" s="91"/>
      <c r="AY653" s="286"/>
      <c r="AZ653" s="286"/>
      <c r="BA653" s="286"/>
      <c r="BB653" s="286"/>
      <c r="BC653" s="286"/>
      <c r="BD653" s="286"/>
      <c r="BE653" s="261"/>
      <c r="BF653" s="261"/>
      <c r="BG653" s="261"/>
      <c r="BH653" s="261"/>
      <c r="BI653" s="261"/>
      <c r="BJ653" s="261"/>
      <c r="BK653" s="261"/>
      <c r="BL653" s="91"/>
      <c r="BM653" s="278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  <c r="BZ653" s="91"/>
      <c r="CA653" s="91"/>
      <c r="CB653" s="91"/>
      <c r="CC653" s="91"/>
      <c r="CD653" s="91"/>
      <c r="CE653" s="91"/>
      <c r="CF653" s="91"/>
      <c r="CG653" s="91"/>
      <c r="CH653" s="91"/>
      <c r="CI653" s="91"/>
      <c r="CJ653" s="91"/>
      <c r="CK653" s="91"/>
      <c r="CL653" s="91"/>
      <c r="CM653" s="91"/>
      <c r="CN653" s="91"/>
      <c r="CO653" s="91"/>
      <c r="CP653" s="91"/>
      <c r="CQ653" s="91"/>
      <c r="CR653" s="91"/>
      <c r="CS653" s="91"/>
      <c r="CT653" s="91"/>
      <c r="CU653" s="91"/>
      <c r="CV653" s="91"/>
      <c r="CW653" s="91"/>
      <c r="CX653" s="91"/>
      <c r="CY653" s="91"/>
      <c r="CZ653" s="91"/>
      <c r="DA653" s="91"/>
      <c r="DB653" s="91"/>
      <c r="DC653" s="91"/>
      <c r="DD653" s="91"/>
      <c r="DE653" s="91"/>
      <c r="DF653" s="91"/>
      <c r="DG653" s="91"/>
      <c r="DH653" s="91"/>
      <c r="DI653" s="91"/>
      <c r="DJ653" s="91"/>
      <c r="DK653" s="91"/>
      <c r="DL653" s="91"/>
      <c r="DM653" s="91"/>
      <c r="DN653" s="91"/>
      <c r="DO653" s="91"/>
      <c r="DP653" s="91"/>
      <c r="DQ653" s="91"/>
      <c r="DR653" s="91"/>
      <c r="DS653" s="91"/>
      <c r="DT653" s="91"/>
      <c r="DU653" s="91"/>
      <c r="DV653" s="91"/>
      <c r="DW653" s="91"/>
      <c r="DX653" s="91"/>
      <c r="DY653" s="91"/>
    </row>
    <row r="654" spans="1:129" ht="15.75">
      <c r="A654" s="238"/>
      <c r="D654" s="192"/>
      <c r="E654" s="258"/>
      <c r="F654" s="193"/>
      <c r="G654" s="91"/>
      <c r="H654" s="91"/>
      <c r="I654" s="294"/>
      <c r="J654" s="193"/>
      <c r="K654" s="193"/>
      <c r="L654" s="193"/>
      <c r="M654" s="295"/>
      <c r="N654" s="91"/>
      <c r="O654" s="193"/>
      <c r="P654" s="356"/>
      <c r="Q654" s="91"/>
      <c r="R654" s="356"/>
      <c r="S654" s="357"/>
      <c r="T654" s="357"/>
      <c r="U654" s="357"/>
      <c r="V654" s="357"/>
      <c r="W654" s="357"/>
      <c r="X654" s="357"/>
      <c r="Y654" s="357"/>
      <c r="Z654" s="357"/>
      <c r="AA654" s="374"/>
      <c r="AB654" s="377"/>
      <c r="AC654" s="377"/>
      <c r="AD654" s="377"/>
      <c r="AE654" s="288"/>
      <c r="AF654" s="288"/>
      <c r="AG654" s="288"/>
      <c r="AH654" s="288"/>
      <c r="AI654" s="288"/>
      <c r="AJ654" s="288"/>
      <c r="AK654" s="374"/>
      <c r="AL654" s="91"/>
      <c r="AM654" s="376"/>
      <c r="AN654" s="376"/>
      <c r="AO654" s="286"/>
      <c r="AP654" s="286"/>
      <c r="AQ654" s="286"/>
      <c r="AR654" s="286"/>
      <c r="AS654" s="286"/>
      <c r="AT654" s="286"/>
      <c r="AU654" s="261"/>
      <c r="AV654" s="371"/>
      <c r="AW654" s="91"/>
      <c r="AX654" s="91"/>
      <c r="AY654" s="286"/>
      <c r="AZ654" s="286"/>
      <c r="BA654" s="286"/>
      <c r="BB654" s="286"/>
      <c r="BC654" s="286"/>
      <c r="BD654" s="286"/>
      <c r="BE654" s="261"/>
      <c r="BF654" s="261"/>
      <c r="BG654" s="261"/>
      <c r="BH654" s="261"/>
      <c r="BI654" s="261"/>
      <c r="BJ654" s="261"/>
      <c r="BK654" s="261"/>
      <c r="BL654" s="91"/>
      <c r="BM654" s="278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  <c r="BZ654" s="91"/>
      <c r="CA654" s="91"/>
      <c r="CB654" s="91"/>
      <c r="CC654" s="91"/>
      <c r="CD654" s="91"/>
      <c r="CE654" s="91"/>
      <c r="CF654" s="91"/>
      <c r="CG654" s="91"/>
      <c r="CH654" s="91"/>
      <c r="CI654" s="91"/>
      <c r="CJ654" s="91"/>
      <c r="CK654" s="91"/>
      <c r="CL654" s="91"/>
      <c r="CM654" s="91"/>
      <c r="CN654" s="91"/>
      <c r="CO654" s="91"/>
      <c r="CP654" s="91"/>
      <c r="CQ654" s="91"/>
      <c r="CR654" s="91"/>
      <c r="CS654" s="91"/>
      <c r="CT654" s="91"/>
      <c r="CU654" s="91"/>
      <c r="CV654" s="91"/>
      <c r="CW654" s="91"/>
      <c r="CX654" s="91"/>
      <c r="CY654" s="91"/>
      <c r="CZ654" s="91"/>
      <c r="DA654" s="91"/>
      <c r="DB654" s="91"/>
      <c r="DC654" s="91"/>
      <c r="DD654" s="91"/>
      <c r="DE654" s="91"/>
      <c r="DF654" s="91"/>
      <c r="DG654" s="91"/>
      <c r="DH654" s="91"/>
      <c r="DI654" s="91"/>
      <c r="DJ654" s="91"/>
      <c r="DK654" s="91"/>
      <c r="DL654" s="91"/>
      <c r="DM654" s="91"/>
      <c r="DN654" s="91"/>
      <c r="DO654" s="91"/>
      <c r="DP654" s="91"/>
      <c r="DQ654" s="91"/>
      <c r="DR654" s="91"/>
      <c r="DS654" s="91"/>
      <c r="DT654" s="91"/>
      <c r="DU654" s="91"/>
      <c r="DV654" s="91"/>
      <c r="DW654" s="91"/>
      <c r="DX654" s="91"/>
      <c r="DY654" s="91"/>
    </row>
    <row r="655" spans="1:129" ht="15.75">
      <c r="A655" s="238"/>
      <c r="D655" s="192"/>
      <c r="E655" s="258"/>
      <c r="F655" s="193"/>
      <c r="G655" s="91"/>
      <c r="H655" s="91"/>
      <c r="I655" s="294"/>
      <c r="J655" s="193"/>
      <c r="K655" s="193"/>
      <c r="L655" s="193"/>
      <c r="M655" s="295"/>
      <c r="N655" s="91"/>
      <c r="O655" s="193"/>
      <c r="P655" s="356"/>
      <c r="Q655" s="91"/>
      <c r="R655" s="356"/>
      <c r="S655" s="357"/>
      <c r="T655" s="357"/>
      <c r="U655" s="357"/>
      <c r="V655" s="357"/>
      <c r="W655" s="357"/>
      <c r="X655" s="357"/>
      <c r="Y655" s="357"/>
      <c r="Z655" s="357"/>
      <c r="AA655" s="374"/>
      <c r="AB655" s="377"/>
      <c r="AC655" s="377"/>
      <c r="AD655" s="377"/>
      <c r="AE655" s="288"/>
      <c r="AF655" s="288"/>
      <c r="AG655" s="288"/>
      <c r="AH655" s="288"/>
      <c r="AI655" s="288"/>
      <c r="AJ655" s="288"/>
      <c r="AK655" s="374"/>
      <c r="AL655" s="91"/>
      <c r="AM655" s="376"/>
      <c r="AN655" s="376"/>
      <c r="AO655" s="286"/>
      <c r="AP655" s="286"/>
      <c r="AQ655" s="286"/>
      <c r="AR655" s="286"/>
      <c r="AS655" s="286"/>
      <c r="AT655" s="286"/>
      <c r="AU655" s="261"/>
      <c r="AV655" s="371"/>
      <c r="AW655" s="91"/>
      <c r="AX655" s="91"/>
      <c r="AY655" s="286"/>
      <c r="AZ655" s="286"/>
      <c r="BA655" s="286"/>
      <c r="BB655" s="286"/>
      <c r="BC655" s="286"/>
      <c r="BD655" s="286"/>
      <c r="BE655" s="261"/>
      <c r="BF655" s="261"/>
      <c r="BG655" s="261"/>
      <c r="BH655" s="261"/>
      <c r="BI655" s="261"/>
      <c r="BJ655" s="261"/>
      <c r="BK655" s="261"/>
      <c r="BL655" s="91"/>
      <c r="BM655" s="278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  <c r="BZ655" s="91"/>
      <c r="CA655" s="91"/>
      <c r="CB655" s="91"/>
      <c r="CC655" s="91"/>
      <c r="CD655" s="91"/>
      <c r="CE655" s="91"/>
      <c r="CF655" s="91"/>
      <c r="CG655" s="91"/>
      <c r="CH655" s="91"/>
      <c r="CI655" s="91"/>
      <c r="CJ655" s="91"/>
      <c r="CK655" s="91"/>
      <c r="CL655" s="91"/>
      <c r="CM655" s="91"/>
      <c r="CN655" s="91"/>
      <c r="CO655" s="91"/>
      <c r="CP655" s="91"/>
      <c r="CQ655" s="91"/>
      <c r="CR655" s="91"/>
      <c r="CS655" s="91"/>
      <c r="CT655" s="91"/>
      <c r="CU655" s="91"/>
      <c r="CV655" s="91"/>
      <c r="CW655" s="91"/>
      <c r="CX655" s="91"/>
      <c r="CY655" s="91"/>
      <c r="CZ655" s="91"/>
      <c r="DA655" s="91"/>
      <c r="DB655" s="91"/>
      <c r="DC655" s="91"/>
      <c r="DD655" s="91"/>
      <c r="DE655" s="91"/>
      <c r="DF655" s="91"/>
      <c r="DG655" s="91"/>
      <c r="DH655" s="91"/>
      <c r="DI655" s="91"/>
      <c r="DJ655" s="91"/>
      <c r="DK655" s="91"/>
      <c r="DL655" s="91"/>
      <c r="DM655" s="91"/>
      <c r="DN655" s="91"/>
      <c r="DO655" s="91"/>
      <c r="DP655" s="91"/>
      <c r="DQ655" s="91"/>
      <c r="DR655" s="91"/>
      <c r="DS655" s="91"/>
      <c r="DT655" s="91"/>
      <c r="DU655" s="91"/>
      <c r="DV655" s="91"/>
      <c r="DW655" s="91"/>
      <c r="DX655" s="91"/>
      <c r="DY655" s="91"/>
    </row>
    <row r="656" spans="1:129" ht="15.75">
      <c r="A656" s="238"/>
      <c r="D656" s="192"/>
      <c r="E656" s="258"/>
      <c r="F656" s="193"/>
      <c r="G656" s="91"/>
      <c r="H656" s="91"/>
      <c r="I656" s="294"/>
      <c r="J656" s="193"/>
      <c r="K656" s="193"/>
      <c r="L656" s="193"/>
      <c r="M656" s="295"/>
      <c r="N656" s="91"/>
      <c r="O656" s="193"/>
      <c r="P656" s="356"/>
      <c r="Q656" s="91"/>
      <c r="R656" s="356"/>
      <c r="S656" s="357"/>
      <c r="T656" s="357"/>
      <c r="U656" s="357"/>
      <c r="V656" s="357"/>
      <c r="W656" s="357"/>
      <c r="X656" s="357"/>
      <c r="Y656" s="357"/>
      <c r="Z656" s="357"/>
      <c r="AA656" s="374"/>
      <c r="AB656" s="377"/>
      <c r="AC656" s="377"/>
      <c r="AD656" s="377"/>
      <c r="AE656" s="288"/>
      <c r="AF656" s="288"/>
      <c r="AG656" s="288"/>
      <c r="AH656" s="288"/>
      <c r="AI656" s="288"/>
      <c r="AJ656" s="288"/>
      <c r="AK656" s="374"/>
      <c r="AL656" s="91"/>
      <c r="AM656" s="376"/>
      <c r="AN656" s="376"/>
      <c r="AO656" s="286"/>
      <c r="AP656" s="286"/>
      <c r="AQ656" s="286"/>
      <c r="AR656" s="286"/>
      <c r="AS656" s="286"/>
      <c r="AT656" s="286"/>
      <c r="AU656" s="261"/>
      <c r="AV656" s="371"/>
      <c r="AW656" s="91"/>
      <c r="AX656" s="91"/>
      <c r="AY656" s="286"/>
      <c r="AZ656" s="286"/>
      <c r="BA656" s="286"/>
      <c r="BB656" s="286"/>
      <c r="BC656" s="286"/>
      <c r="BD656" s="286"/>
      <c r="BE656" s="261"/>
      <c r="BF656" s="261"/>
      <c r="BG656" s="261"/>
      <c r="BH656" s="261"/>
      <c r="BI656" s="261"/>
      <c r="BJ656" s="261"/>
      <c r="BK656" s="261"/>
      <c r="BL656" s="91"/>
      <c r="BM656" s="278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  <c r="BZ656" s="91"/>
      <c r="CA656" s="91"/>
      <c r="CB656" s="91"/>
      <c r="CC656" s="91"/>
      <c r="CD656" s="91"/>
      <c r="CE656" s="91"/>
      <c r="CF656" s="91"/>
      <c r="CG656" s="91"/>
      <c r="CH656" s="91"/>
      <c r="CI656" s="91"/>
      <c r="CJ656" s="91"/>
      <c r="CK656" s="91"/>
      <c r="CL656" s="91"/>
      <c r="CM656" s="91"/>
      <c r="CN656" s="91"/>
      <c r="CO656" s="91"/>
      <c r="CP656" s="91"/>
      <c r="CQ656" s="91"/>
      <c r="CR656" s="91"/>
      <c r="CS656" s="91"/>
      <c r="CT656" s="91"/>
      <c r="CU656" s="91"/>
      <c r="CV656" s="91"/>
      <c r="CW656" s="91"/>
      <c r="CX656" s="91"/>
      <c r="CY656" s="91"/>
      <c r="CZ656" s="91"/>
      <c r="DA656" s="91"/>
      <c r="DB656" s="91"/>
      <c r="DC656" s="91"/>
      <c r="DD656" s="91"/>
      <c r="DE656" s="91"/>
      <c r="DF656" s="91"/>
      <c r="DG656" s="91"/>
      <c r="DH656" s="91"/>
      <c r="DI656" s="91"/>
      <c r="DJ656" s="91"/>
      <c r="DK656" s="91"/>
      <c r="DL656" s="91"/>
      <c r="DM656" s="91"/>
      <c r="DN656" s="91"/>
      <c r="DO656" s="91"/>
      <c r="DP656" s="91"/>
      <c r="DQ656" s="91"/>
      <c r="DR656" s="91"/>
      <c r="DS656" s="91"/>
      <c r="DT656" s="91"/>
      <c r="DU656" s="91"/>
      <c r="DV656" s="91"/>
      <c r="DW656" s="91"/>
      <c r="DX656" s="91"/>
      <c r="DY656" s="91"/>
    </row>
    <row r="657" spans="1:129" ht="15.75">
      <c r="A657" s="238"/>
      <c r="D657" s="192"/>
      <c r="E657" s="258"/>
      <c r="F657" s="193"/>
      <c r="G657" s="91"/>
      <c r="H657" s="91"/>
      <c r="I657" s="294"/>
      <c r="J657" s="193"/>
      <c r="K657" s="193"/>
      <c r="L657" s="193"/>
      <c r="M657" s="295"/>
      <c r="N657" s="91"/>
      <c r="O657" s="193"/>
      <c r="P657" s="356"/>
      <c r="Q657" s="91"/>
      <c r="R657" s="356"/>
      <c r="S657" s="357"/>
      <c r="T657" s="357"/>
      <c r="U657" s="357"/>
      <c r="V657" s="357"/>
      <c r="W657" s="357"/>
      <c r="X657" s="357"/>
      <c r="Y657" s="357"/>
      <c r="Z657" s="357"/>
      <c r="AA657" s="374"/>
      <c r="AB657" s="377"/>
      <c r="AC657" s="377"/>
      <c r="AD657" s="377"/>
      <c r="AE657" s="288"/>
      <c r="AF657" s="288"/>
      <c r="AG657" s="288"/>
      <c r="AH657" s="288"/>
      <c r="AI657" s="288"/>
      <c r="AJ657" s="288"/>
      <c r="AK657" s="374"/>
      <c r="AL657" s="91"/>
      <c r="AM657" s="376"/>
      <c r="AN657" s="376"/>
      <c r="AO657" s="286"/>
      <c r="AP657" s="286"/>
      <c r="AQ657" s="286"/>
      <c r="AR657" s="286"/>
      <c r="AS657" s="286"/>
      <c r="AT657" s="286"/>
      <c r="AU657" s="261"/>
      <c r="AV657" s="371"/>
      <c r="AW657" s="91"/>
      <c r="AX657" s="91"/>
      <c r="AY657" s="286"/>
      <c r="AZ657" s="286"/>
      <c r="BA657" s="286"/>
      <c r="BB657" s="286"/>
      <c r="BC657" s="286"/>
      <c r="BD657" s="286"/>
      <c r="BE657" s="261"/>
      <c r="BF657" s="261"/>
      <c r="BG657" s="261"/>
      <c r="BH657" s="261"/>
      <c r="BI657" s="261"/>
      <c r="BJ657" s="261"/>
      <c r="BK657" s="261"/>
      <c r="BL657" s="91"/>
      <c r="BM657" s="278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  <c r="BZ657" s="91"/>
      <c r="CA657" s="91"/>
      <c r="CB657" s="91"/>
      <c r="CC657" s="91"/>
      <c r="CD657" s="91"/>
      <c r="CE657" s="91"/>
      <c r="CF657" s="91"/>
      <c r="CG657" s="91"/>
      <c r="CH657" s="91"/>
      <c r="CI657" s="91"/>
      <c r="CJ657" s="91"/>
      <c r="CK657" s="91"/>
      <c r="CL657" s="91"/>
      <c r="CM657" s="91"/>
      <c r="CN657" s="91"/>
      <c r="CO657" s="91"/>
      <c r="CP657" s="91"/>
      <c r="CQ657" s="91"/>
      <c r="CR657" s="91"/>
      <c r="CS657" s="91"/>
      <c r="CT657" s="91"/>
      <c r="CU657" s="91"/>
      <c r="CV657" s="91"/>
      <c r="CW657" s="91"/>
      <c r="CX657" s="91"/>
      <c r="CY657" s="91"/>
      <c r="CZ657" s="91"/>
      <c r="DA657" s="91"/>
      <c r="DB657" s="91"/>
      <c r="DC657" s="91"/>
      <c r="DD657" s="91"/>
      <c r="DE657" s="91"/>
      <c r="DF657" s="91"/>
      <c r="DG657" s="91"/>
      <c r="DH657" s="91"/>
      <c r="DI657" s="91"/>
      <c r="DJ657" s="91"/>
      <c r="DK657" s="91"/>
      <c r="DL657" s="91"/>
      <c r="DM657" s="91"/>
      <c r="DN657" s="91"/>
      <c r="DO657" s="91"/>
      <c r="DP657" s="91"/>
      <c r="DQ657" s="91"/>
      <c r="DR657" s="91"/>
      <c r="DS657" s="91"/>
      <c r="DT657" s="91"/>
      <c r="DU657" s="91"/>
      <c r="DV657" s="91"/>
      <c r="DW657" s="91"/>
      <c r="DX657" s="91"/>
      <c r="DY657" s="91"/>
    </row>
    <row r="658" spans="1:129" ht="15.75">
      <c r="A658" s="238"/>
      <c r="D658" s="192"/>
      <c r="E658" s="258"/>
      <c r="F658" s="193"/>
      <c r="G658" s="91"/>
      <c r="H658" s="91"/>
      <c r="I658" s="294"/>
      <c r="J658" s="193"/>
      <c r="K658" s="193"/>
      <c r="L658" s="193"/>
      <c r="M658" s="295"/>
      <c r="N658" s="91"/>
      <c r="O658" s="193"/>
      <c r="P658" s="356"/>
      <c r="Q658" s="91"/>
      <c r="R658" s="356"/>
      <c r="S658" s="357"/>
      <c r="T658" s="357"/>
      <c r="U658" s="357"/>
      <c r="V658" s="357"/>
      <c r="W658" s="357"/>
      <c r="X658" s="357"/>
      <c r="Y658" s="357"/>
      <c r="Z658" s="357"/>
      <c r="AA658" s="374"/>
      <c r="AB658" s="377"/>
      <c r="AC658" s="377"/>
      <c r="AD658" s="377"/>
      <c r="AE658" s="288"/>
      <c r="AF658" s="288"/>
      <c r="AG658" s="288"/>
      <c r="AH658" s="288"/>
      <c r="AI658" s="288"/>
      <c r="AJ658" s="288"/>
      <c r="AK658" s="374"/>
      <c r="AL658" s="91"/>
      <c r="AM658" s="376"/>
      <c r="AN658" s="376"/>
      <c r="AO658" s="286"/>
      <c r="AP658" s="286"/>
      <c r="AQ658" s="286"/>
      <c r="AR658" s="286"/>
      <c r="AS658" s="286"/>
      <c r="AT658" s="286"/>
      <c r="AU658" s="261"/>
      <c r="AV658" s="371"/>
      <c r="AW658" s="91"/>
      <c r="AX658" s="91"/>
      <c r="AY658" s="286"/>
      <c r="AZ658" s="286"/>
      <c r="BA658" s="286"/>
      <c r="BB658" s="286"/>
      <c r="BC658" s="286"/>
      <c r="BD658" s="286"/>
      <c r="BE658" s="261"/>
      <c r="BF658" s="261"/>
      <c r="BG658" s="261"/>
      <c r="BH658" s="261"/>
      <c r="BI658" s="261"/>
      <c r="BJ658" s="261"/>
      <c r="BK658" s="261"/>
      <c r="BL658" s="91"/>
      <c r="BM658" s="278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  <c r="BZ658" s="91"/>
      <c r="CA658" s="91"/>
      <c r="CB658" s="91"/>
      <c r="CC658" s="91"/>
      <c r="CD658" s="91"/>
      <c r="CE658" s="91"/>
      <c r="CF658" s="91"/>
      <c r="CG658" s="91"/>
      <c r="CH658" s="91"/>
      <c r="CI658" s="91"/>
      <c r="CJ658" s="91"/>
      <c r="CK658" s="91"/>
      <c r="CL658" s="91"/>
      <c r="CM658" s="91"/>
      <c r="CN658" s="91"/>
      <c r="CO658" s="91"/>
      <c r="CP658" s="91"/>
      <c r="CQ658" s="91"/>
      <c r="CR658" s="91"/>
      <c r="CS658" s="91"/>
      <c r="CT658" s="91"/>
      <c r="CU658" s="91"/>
      <c r="CV658" s="91"/>
      <c r="CW658" s="91"/>
      <c r="CX658" s="91"/>
      <c r="CY658" s="91"/>
      <c r="CZ658" s="91"/>
      <c r="DA658" s="91"/>
      <c r="DB658" s="91"/>
      <c r="DC658" s="91"/>
      <c r="DD658" s="91"/>
      <c r="DE658" s="91"/>
      <c r="DF658" s="91"/>
      <c r="DG658" s="91"/>
      <c r="DH658" s="91"/>
      <c r="DI658" s="91"/>
      <c r="DJ658" s="91"/>
      <c r="DK658" s="91"/>
      <c r="DL658" s="91"/>
      <c r="DM658" s="91"/>
      <c r="DN658" s="91"/>
      <c r="DO658" s="91"/>
      <c r="DP658" s="91"/>
      <c r="DQ658" s="91"/>
      <c r="DR658" s="91"/>
      <c r="DS658" s="91"/>
      <c r="DT658" s="91"/>
      <c r="DU658" s="91"/>
      <c r="DV658" s="91"/>
      <c r="DW658" s="91"/>
      <c r="DX658" s="91"/>
      <c r="DY658" s="91"/>
    </row>
    <row r="659" spans="1:129" ht="15.75">
      <c r="A659" s="238"/>
      <c r="D659" s="192"/>
      <c r="E659" s="258"/>
      <c r="F659" s="193"/>
      <c r="G659" s="91"/>
      <c r="H659" s="91"/>
      <c r="I659" s="294"/>
      <c r="J659" s="193"/>
      <c r="K659" s="193"/>
      <c r="L659" s="193"/>
      <c r="M659" s="295"/>
      <c r="N659" s="91"/>
      <c r="O659" s="193"/>
      <c r="P659" s="356"/>
      <c r="Q659" s="91"/>
      <c r="R659" s="356"/>
      <c r="S659" s="357"/>
      <c r="T659" s="357"/>
      <c r="U659" s="357"/>
      <c r="V659" s="357"/>
      <c r="W659" s="357"/>
      <c r="X659" s="357"/>
      <c r="Y659" s="357"/>
      <c r="Z659" s="357"/>
      <c r="AA659" s="374"/>
      <c r="AB659" s="377"/>
      <c r="AC659" s="377"/>
      <c r="AD659" s="377"/>
      <c r="AE659" s="288"/>
      <c r="AF659" s="288"/>
      <c r="AG659" s="288"/>
      <c r="AH659" s="288"/>
      <c r="AI659" s="288"/>
      <c r="AJ659" s="288"/>
      <c r="AK659" s="374"/>
      <c r="AL659" s="91"/>
      <c r="AM659" s="376"/>
      <c r="AN659" s="376"/>
      <c r="AO659" s="286"/>
      <c r="AP659" s="286"/>
      <c r="AQ659" s="286"/>
      <c r="AR659" s="286"/>
      <c r="AS659" s="286"/>
      <c r="AT659" s="286"/>
      <c r="AU659" s="261"/>
      <c r="AV659" s="371"/>
      <c r="AW659" s="91"/>
      <c r="AX659" s="91"/>
      <c r="AY659" s="286"/>
      <c r="AZ659" s="286"/>
      <c r="BA659" s="286"/>
      <c r="BB659" s="286"/>
      <c r="BC659" s="286"/>
      <c r="BD659" s="286"/>
      <c r="BE659" s="261"/>
      <c r="BF659" s="261"/>
      <c r="BG659" s="261"/>
      <c r="BH659" s="261"/>
      <c r="BI659" s="261"/>
      <c r="BJ659" s="261"/>
      <c r="BK659" s="261"/>
      <c r="BL659" s="91"/>
      <c r="BM659" s="278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  <c r="BZ659" s="91"/>
      <c r="CA659" s="91"/>
      <c r="CB659" s="91"/>
      <c r="CC659" s="91"/>
      <c r="CD659" s="91"/>
      <c r="CE659" s="91"/>
      <c r="CF659" s="91"/>
      <c r="CG659" s="91"/>
      <c r="CH659" s="91"/>
      <c r="CI659" s="91"/>
      <c r="CJ659" s="91"/>
      <c r="CK659" s="91"/>
      <c r="CL659" s="91"/>
      <c r="CM659" s="91"/>
      <c r="CN659" s="91"/>
      <c r="CO659" s="91"/>
      <c r="CP659" s="91"/>
      <c r="CQ659" s="91"/>
      <c r="CR659" s="91"/>
      <c r="CS659" s="91"/>
      <c r="CT659" s="91"/>
      <c r="CU659" s="91"/>
      <c r="CV659" s="91"/>
      <c r="CW659" s="91"/>
      <c r="CX659" s="91"/>
      <c r="CY659" s="91"/>
      <c r="CZ659" s="91"/>
      <c r="DA659" s="91"/>
      <c r="DB659" s="91"/>
      <c r="DC659" s="91"/>
      <c r="DD659" s="91"/>
      <c r="DE659" s="91"/>
      <c r="DF659" s="91"/>
      <c r="DG659" s="91"/>
      <c r="DH659" s="91"/>
      <c r="DI659" s="91"/>
      <c r="DJ659" s="91"/>
      <c r="DK659" s="91"/>
      <c r="DL659" s="91"/>
      <c r="DM659" s="91"/>
      <c r="DN659" s="91"/>
      <c r="DO659" s="91"/>
      <c r="DP659" s="91"/>
      <c r="DQ659" s="91"/>
      <c r="DR659" s="91"/>
      <c r="DS659" s="91"/>
      <c r="DT659" s="91"/>
      <c r="DU659" s="91"/>
      <c r="DV659" s="91"/>
      <c r="DW659" s="91"/>
      <c r="DX659" s="91"/>
      <c r="DY659" s="91"/>
    </row>
    <row r="660" spans="1:129" ht="15.75">
      <c r="A660" s="238"/>
      <c r="D660" s="192"/>
      <c r="E660" s="258"/>
      <c r="F660" s="193"/>
      <c r="G660" s="91"/>
      <c r="H660" s="91"/>
      <c r="I660" s="294"/>
      <c r="J660" s="193"/>
      <c r="K660" s="193"/>
      <c r="L660" s="193"/>
      <c r="M660" s="295"/>
      <c r="N660" s="91"/>
      <c r="O660" s="193"/>
      <c r="P660" s="356"/>
      <c r="Q660" s="91"/>
      <c r="R660" s="356"/>
      <c r="S660" s="357"/>
      <c r="T660" s="357"/>
      <c r="U660" s="357"/>
      <c r="V660" s="357"/>
      <c r="W660" s="357"/>
      <c r="X660" s="357"/>
      <c r="Y660" s="357"/>
      <c r="Z660" s="357"/>
      <c r="AA660" s="374"/>
      <c r="AB660" s="377"/>
      <c r="AC660" s="377"/>
      <c r="AD660" s="377"/>
      <c r="AE660" s="288"/>
      <c r="AF660" s="288"/>
      <c r="AG660" s="288"/>
      <c r="AH660" s="288"/>
      <c r="AI660" s="288"/>
      <c r="AJ660" s="288"/>
      <c r="AK660" s="374"/>
      <c r="AL660" s="91"/>
      <c r="AM660" s="376"/>
      <c r="AN660" s="376"/>
      <c r="AO660" s="286"/>
      <c r="AP660" s="286"/>
      <c r="AQ660" s="286"/>
      <c r="AR660" s="286"/>
      <c r="AS660" s="286"/>
      <c r="AT660" s="286"/>
      <c r="AU660" s="261"/>
      <c r="AV660" s="371"/>
      <c r="AW660" s="91"/>
      <c r="AX660" s="91"/>
      <c r="AY660" s="286"/>
      <c r="AZ660" s="286"/>
      <c r="BA660" s="286"/>
      <c r="BB660" s="286"/>
      <c r="BC660" s="286"/>
      <c r="BD660" s="286"/>
      <c r="BE660" s="261"/>
      <c r="BF660" s="261"/>
      <c r="BG660" s="261"/>
      <c r="BH660" s="261"/>
      <c r="BI660" s="261"/>
      <c r="BJ660" s="261"/>
      <c r="BK660" s="261"/>
      <c r="BL660" s="91"/>
      <c r="BM660" s="278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  <c r="BZ660" s="91"/>
      <c r="CA660" s="91"/>
      <c r="CB660" s="91"/>
      <c r="CC660" s="91"/>
      <c r="CD660" s="91"/>
      <c r="CE660" s="91"/>
      <c r="CF660" s="91"/>
      <c r="CG660" s="91"/>
      <c r="CH660" s="91"/>
      <c r="CI660" s="91"/>
      <c r="CJ660" s="91"/>
      <c r="CK660" s="91"/>
      <c r="CL660" s="91"/>
      <c r="CM660" s="91"/>
      <c r="CN660" s="91"/>
      <c r="CO660" s="91"/>
      <c r="CP660" s="91"/>
      <c r="CQ660" s="91"/>
      <c r="CR660" s="91"/>
      <c r="CS660" s="91"/>
      <c r="CT660" s="91"/>
      <c r="CU660" s="91"/>
      <c r="CV660" s="91"/>
      <c r="CW660" s="91"/>
      <c r="CX660" s="91"/>
      <c r="CY660" s="91"/>
      <c r="CZ660" s="91"/>
      <c r="DA660" s="91"/>
      <c r="DB660" s="91"/>
      <c r="DC660" s="91"/>
      <c r="DD660" s="91"/>
      <c r="DE660" s="91"/>
      <c r="DF660" s="91"/>
      <c r="DG660" s="91"/>
      <c r="DH660" s="91"/>
      <c r="DI660" s="91"/>
      <c r="DJ660" s="91"/>
      <c r="DK660" s="91"/>
      <c r="DL660" s="91"/>
      <c r="DM660" s="91"/>
      <c r="DN660" s="91"/>
      <c r="DO660" s="91"/>
      <c r="DP660" s="91"/>
      <c r="DQ660" s="91"/>
      <c r="DR660" s="91"/>
      <c r="DS660" s="91"/>
      <c r="DT660" s="91"/>
      <c r="DU660" s="91"/>
      <c r="DV660" s="91"/>
      <c r="DW660" s="91"/>
      <c r="DX660" s="91"/>
      <c r="DY660" s="91"/>
    </row>
    <row r="661" spans="1:129" ht="15.75">
      <c r="A661" s="238"/>
      <c r="D661" s="192"/>
      <c r="E661" s="258"/>
      <c r="F661" s="193"/>
      <c r="G661" s="91"/>
      <c r="H661" s="91"/>
      <c r="I661" s="294"/>
      <c r="J661" s="193"/>
      <c r="K661" s="193"/>
      <c r="L661" s="193"/>
      <c r="M661" s="295"/>
      <c r="N661" s="91"/>
      <c r="O661" s="193"/>
      <c r="P661" s="356"/>
      <c r="Q661" s="91"/>
      <c r="R661" s="356"/>
      <c r="S661" s="357"/>
      <c r="T661" s="357"/>
      <c r="U661" s="357"/>
      <c r="V661" s="357"/>
      <c r="W661" s="357"/>
      <c r="X661" s="357"/>
      <c r="Y661" s="357"/>
      <c r="Z661" s="357"/>
      <c r="AA661" s="374"/>
      <c r="AB661" s="377"/>
      <c r="AC661" s="377"/>
      <c r="AD661" s="377"/>
      <c r="AE661" s="288"/>
      <c r="AF661" s="288"/>
      <c r="AG661" s="288"/>
      <c r="AH661" s="288"/>
      <c r="AI661" s="288"/>
      <c r="AJ661" s="288"/>
      <c r="AK661" s="374"/>
      <c r="AL661" s="91"/>
      <c r="AM661" s="376"/>
      <c r="AN661" s="376"/>
      <c r="AO661" s="286"/>
      <c r="AP661" s="286"/>
      <c r="AQ661" s="286"/>
      <c r="AR661" s="286"/>
      <c r="AS661" s="286"/>
      <c r="AT661" s="286"/>
      <c r="AU661" s="261"/>
      <c r="AV661" s="371"/>
      <c r="AW661" s="91"/>
      <c r="AX661" s="91"/>
      <c r="AY661" s="286"/>
      <c r="AZ661" s="286"/>
      <c r="BA661" s="286"/>
      <c r="BB661" s="286"/>
      <c r="BC661" s="286"/>
      <c r="BD661" s="286"/>
      <c r="BE661" s="261"/>
      <c r="BF661" s="261"/>
      <c r="BG661" s="261"/>
      <c r="BH661" s="261"/>
      <c r="BI661" s="261"/>
      <c r="BJ661" s="261"/>
      <c r="BK661" s="261"/>
      <c r="BL661" s="91"/>
      <c r="BM661" s="278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  <c r="BZ661" s="91"/>
      <c r="CA661" s="91"/>
      <c r="CB661" s="91"/>
      <c r="CC661" s="91"/>
      <c r="CD661" s="91"/>
      <c r="CE661" s="91"/>
      <c r="CF661" s="91"/>
      <c r="CG661" s="91"/>
      <c r="CH661" s="91"/>
      <c r="CI661" s="91"/>
      <c r="CJ661" s="91"/>
      <c r="CK661" s="91"/>
      <c r="CL661" s="91"/>
      <c r="CM661" s="91"/>
      <c r="CN661" s="91"/>
      <c r="CO661" s="91"/>
      <c r="CP661" s="91"/>
      <c r="CQ661" s="91"/>
      <c r="CR661" s="91"/>
      <c r="CS661" s="91"/>
      <c r="CT661" s="91"/>
      <c r="CU661" s="91"/>
      <c r="CV661" s="91"/>
      <c r="CW661" s="91"/>
      <c r="CX661" s="91"/>
      <c r="CY661" s="91"/>
      <c r="CZ661" s="91"/>
      <c r="DA661" s="91"/>
      <c r="DB661" s="91"/>
      <c r="DC661" s="91"/>
      <c r="DD661" s="91"/>
      <c r="DE661" s="91"/>
      <c r="DF661" s="91"/>
      <c r="DG661" s="91"/>
      <c r="DH661" s="91"/>
      <c r="DI661" s="91"/>
      <c r="DJ661" s="91"/>
      <c r="DK661" s="91"/>
      <c r="DL661" s="91"/>
      <c r="DM661" s="91"/>
      <c r="DN661" s="91"/>
      <c r="DO661" s="91"/>
      <c r="DP661" s="91"/>
      <c r="DQ661" s="91"/>
      <c r="DR661" s="91"/>
      <c r="DS661" s="91"/>
      <c r="DT661" s="91"/>
      <c r="DU661" s="91"/>
      <c r="DV661" s="91"/>
      <c r="DW661" s="91"/>
      <c r="DX661" s="91"/>
      <c r="DY661" s="91"/>
    </row>
    <row r="662" spans="1:129" ht="15.75">
      <c r="A662" s="238"/>
      <c r="D662" s="192"/>
      <c r="E662" s="258"/>
      <c r="F662" s="193"/>
      <c r="G662" s="91"/>
      <c r="H662" s="91"/>
      <c r="I662" s="294"/>
      <c r="J662" s="193"/>
      <c r="K662" s="193"/>
      <c r="L662" s="193"/>
      <c r="M662" s="295"/>
      <c r="N662" s="91"/>
      <c r="O662" s="193"/>
      <c r="P662" s="356"/>
      <c r="Q662" s="91"/>
      <c r="R662" s="356"/>
      <c r="S662" s="357"/>
      <c r="T662" s="357"/>
      <c r="U662" s="357"/>
      <c r="V662" s="357"/>
      <c r="W662" s="357"/>
      <c r="X662" s="357"/>
      <c r="Y662" s="357"/>
      <c r="Z662" s="357"/>
      <c r="AA662" s="374"/>
      <c r="AB662" s="377"/>
      <c r="AC662" s="377"/>
      <c r="AD662" s="377"/>
      <c r="AE662" s="288"/>
      <c r="AF662" s="288"/>
      <c r="AG662" s="288"/>
      <c r="AH662" s="288"/>
      <c r="AI662" s="288"/>
      <c r="AJ662" s="288"/>
      <c r="AK662" s="374"/>
      <c r="AL662" s="91"/>
      <c r="AM662" s="376"/>
      <c r="AN662" s="376"/>
      <c r="AO662" s="286"/>
      <c r="AP662" s="286"/>
      <c r="AQ662" s="286"/>
      <c r="AR662" s="286"/>
      <c r="AS662" s="286"/>
      <c r="AT662" s="286"/>
      <c r="AU662" s="261"/>
      <c r="AV662" s="371"/>
      <c r="AW662" s="91"/>
      <c r="AX662" s="91"/>
      <c r="AY662" s="286"/>
      <c r="AZ662" s="286"/>
      <c r="BA662" s="286"/>
      <c r="BB662" s="286"/>
      <c r="BC662" s="286"/>
      <c r="BD662" s="286"/>
      <c r="BE662" s="261"/>
      <c r="BF662" s="261"/>
      <c r="BG662" s="261"/>
      <c r="BH662" s="261"/>
      <c r="BI662" s="261"/>
      <c r="BJ662" s="261"/>
      <c r="BK662" s="261"/>
      <c r="BL662" s="91"/>
      <c r="BM662" s="278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  <c r="BZ662" s="91"/>
      <c r="CA662" s="91"/>
      <c r="CB662" s="91"/>
      <c r="CC662" s="91"/>
      <c r="CD662" s="91"/>
      <c r="CE662" s="91"/>
      <c r="CF662" s="91"/>
      <c r="CG662" s="91"/>
      <c r="CH662" s="91"/>
      <c r="CI662" s="91"/>
      <c r="CJ662" s="91"/>
      <c r="CK662" s="91"/>
      <c r="CL662" s="91"/>
      <c r="CM662" s="91"/>
      <c r="CN662" s="91"/>
      <c r="CO662" s="91"/>
      <c r="CP662" s="91"/>
      <c r="CQ662" s="91"/>
      <c r="CR662" s="91"/>
      <c r="CS662" s="91"/>
      <c r="CT662" s="91"/>
      <c r="CU662" s="91"/>
      <c r="CV662" s="91"/>
      <c r="CW662" s="91"/>
      <c r="CX662" s="91"/>
      <c r="CY662" s="91"/>
      <c r="CZ662" s="91"/>
      <c r="DA662" s="91"/>
      <c r="DB662" s="91"/>
      <c r="DC662" s="91"/>
      <c r="DD662" s="91"/>
      <c r="DE662" s="91"/>
      <c r="DF662" s="91"/>
      <c r="DG662" s="91"/>
      <c r="DH662" s="91"/>
      <c r="DI662" s="91"/>
      <c r="DJ662" s="91"/>
      <c r="DK662" s="91"/>
      <c r="DL662" s="91"/>
      <c r="DM662" s="91"/>
      <c r="DN662" s="91"/>
      <c r="DO662" s="91"/>
      <c r="DP662" s="91"/>
      <c r="DQ662" s="91"/>
      <c r="DR662" s="91"/>
      <c r="DS662" s="91"/>
      <c r="DT662" s="91"/>
      <c r="DU662" s="91"/>
      <c r="DV662" s="91"/>
      <c r="DW662" s="91"/>
      <c r="DX662" s="91"/>
      <c r="DY662" s="91"/>
    </row>
    <row r="663" spans="1:129" ht="15.75">
      <c r="A663" s="238"/>
      <c r="D663" s="192"/>
      <c r="E663" s="258"/>
      <c r="F663" s="193"/>
      <c r="G663" s="91"/>
      <c r="H663" s="91"/>
      <c r="I663" s="294"/>
      <c r="J663" s="193"/>
      <c r="K663" s="193"/>
      <c r="L663" s="193"/>
      <c r="M663" s="295"/>
      <c r="N663" s="91"/>
      <c r="O663" s="193"/>
      <c r="P663" s="356"/>
      <c r="Q663" s="91"/>
      <c r="R663" s="356"/>
      <c r="S663" s="357"/>
      <c r="T663" s="357"/>
      <c r="U663" s="357"/>
      <c r="V663" s="357"/>
      <c r="W663" s="357"/>
      <c r="X663" s="357"/>
      <c r="Y663" s="357"/>
      <c r="Z663" s="357"/>
      <c r="AA663" s="374"/>
      <c r="AB663" s="377"/>
      <c r="AC663" s="377"/>
      <c r="AD663" s="377"/>
      <c r="AE663" s="288"/>
      <c r="AF663" s="288"/>
      <c r="AG663" s="288"/>
      <c r="AH663" s="288"/>
      <c r="AI663" s="288"/>
      <c r="AJ663" s="288"/>
      <c r="AK663" s="374"/>
      <c r="AL663" s="91"/>
      <c r="AM663" s="376"/>
      <c r="AN663" s="376"/>
      <c r="AO663" s="286"/>
      <c r="AP663" s="286"/>
      <c r="AQ663" s="286"/>
      <c r="AR663" s="286"/>
      <c r="AS663" s="286"/>
      <c r="AT663" s="286"/>
      <c r="AU663" s="261"/>
      <c r="AV663" s="371"/>
      <c r="AW663" s="91"/>
      <c r="AX663" s="91"/>
      <c r="AY663" s="286"/>
      <c r="AZ663" s="286"/>
      <c r="BA663" s="286"/>
      <c r="BB663" s="286"/>
      <c r="BC663" s="286"/>
      <c r="BD663" s="286"/>
      <c r="BE663" s="261"/>
      <c r="BF663" s="261"/>
      <c r="BG663" s="261"/>
      <c r="BH663" s="261"/>
      <c r="BI663" s="261"/>
      <c r="BJ663" s="261"/>
      <c r="BK663" s="261"/>
      <c r="BL663" s="91"/>
      <c r="BM663" s="278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  <c r="BZ663" s="91"/>
      <c r="CA663" s="91"/>
      <c r="CB663" s="91"/>
      <c r="CC663" s="91"/>
      <c r="CD663" s="91"/>
      <c r="CE663" s="91"/>
      <c r="CF663" s="91"/>
      <c r="CG663" s="91"/>
      <c r="CH663" s="91"/>
      <c r="CI663" s="91"/>
      <c r="CJ663" s="91"/>
      <c r="CK663" s="91"/>
      <c r="CL663" s="91"/>
      <c r="CM663" s="91"/>
      <c r="CN663" s="91"/>
      <c r="CO663" s="91"/>
      <c r="CP663" s="91"/>
      <c r="CQ663" s="91"/>
      <c r="CR663" s="91"/>
      <c r="CS663" s="91"/>
      <c r="CT663" s="91"/>
      <c r="CU663" s="91"/>
      <c r="CV663" s="91"/>
      <c r="CW663" s="91"/>
      <c r="CX663" s="91"/>
      <c r="CY663" s="91"/>
      <c r="CZ663" s="91"/>
      <c r="DA663" s="91"/>
      <c r="DB663" s="91"/>
      <c r="DC663" s="91"/>
      <c r="DD663" s="91"/>
      <c r="DE663" s="91"/>
      <c r="DF663" s="91"/>
      <c r="DG663" s="91"/>
      <c r="DH663" s="91"/>
      <c r="DI663" s="91"/>
      <c r="DJ663" s="91"/>
      <c r="DK663" s="91"/>
      <c r="DL663" s="91"/>
      <c r="DM663" s="91"/>
      <c r="DN663" s="91"/>
      <c r="DO663" s="91"/>
      <c r="DP663" s="91"/>
      <c r="DQ663" s="91"/>
      <c r="DR663" s="91"/>
      <c r="DS663" s="91"/>
      <c r="DT663" s="91"/>
      <c r="DU663" s="91"/>
      <c r="DV663" s="91"/>
      <c r="DW663" s="91"/>
      <c r="DX663" s="91"/>
      <c r="DY663" s="91"/>
    </row>
    <row r="664" spans="1:129" ht="15.75">
      <c r="A664" s="238"/>
      <c r="D664" s="192"/>
      <c r="E664" s="258"/>
      <c r="F664" s="193"/>
      <c r="G664" s="91"/>
      <c r="H664" s="91"/>
      <c r="I664" s="294"/>
      <c r="J664" s="193"/>
      <c r="K664" s="193"/>
      <c r="L664" s="193"/>
      <c r="M664" s="295"/>
      <c r="N664" s="91"/>
      <c r="O664" s="193"/>
      <c r="P664" s="356"/>
      <c r="Q664" s="91"/>
      <c r="R664" s="356"/>
      <c r="S664" s="357"/>
      <c r="T664" s="357"/>
      <c r="U664" s="357"/>
      <c r="V664" s="357"/>
      <c r="W664" s="357"/>
      <c r="X664" s="357"/>
      <c r="Y664" s="357"/>
      <c r="Z664" s="357"/>
      <c r="AA664" s="374"/>
      <c r="AB664" s="377"/>
      <c r="AC664" s="377"/>
      <c r="AD664" s="377"/>
      <c r="AE664" s="288"/>
      <c r="AF664" s="288"/>
      <c r="AG664" s="288"/>
      <c r="AH664" s="288"/>
      <c r="AI664" s="288"/>
      <c r="AJ664" s="288"/>
      <c r="AK664" s="374"/>
      <c r="AL664" s="91"/>
      <c r="AM664" s="376"/>
      <c r="AN664" s="376"/>
      <c r="AO664" s="286"/>
      <c r="AP664" s="286"/>
      <c r="AQ664" s="286"/>
      <c r="AR664" s="286"/>
      <c r="AS664" s="286"/>
      <c r="AT664" s="286"/>
      <c r="AU664" s="261"/>
      <c r="AV664" s="371"/>
      <c r="AW664" s="91"/>
      <c r="AX664" s="91"/>
      <c r="AY664" s="286"/>
      <c r="AZ664" s="286"/>
      <c r="BA664" s="286"/>
      <c r="BB664" s="286"/>
      <c r="BC664" s="286"/>
      <c r="BD664" s="286"/>
      <c r="BE664" s="261"/>
      <c r="BF664" s="261"/>
      <c r="BG664" s="261"/>
      <c r="BH664" s="261"/>
      <c r="BI664" s="261"/>
      <c r="BJ664" s="261"/>
      <c r="BK664" s="261"/>
      <c r="BL664" s="91"/>
      <c r="BM664" s="278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  <c r="BZ664" s="91"/>
      <c r="CA664" s="91"/>
      <c r="CB664" s="91"/>
      <c r="CC664" s="91"/>
      <c r="CD664" s="91"/>
      <c r="CE664" s="91"/>
      <c r="CF664" s="91"/>
      <c r="CG664" s="91"/>
      <c r="CH664" s="91"/>
      <c r="CI664" s="91"/>
      <c r="CJ664" s="91"/>
      <c r="CK664" s="91"/>
      <c r="CL664" s="91"/>
      <c r="CM664" s="91"/>
      <c r="CN664" s="91"/>
      <c r="CO664" s="91"/>
      <c r="CP664" s="91"/>
      <c r="CQ664" s="91"/>
      <c r="CR664" s="91"/>
      <c r="CS664" s="91"/>
      <c r="CT664" s="91"/>
      <c r="CU664" s="91"/>
      <c r="CV664" s="91"/>
      <c r="CW664" s="91"/>
      <c r="CX664" s="91"/>
      <c r="CY664" s="91"/>
      <c r="CZ664" s="91"/>
      <c r="DA664" s="91"/>
      <c r="DB664" s="91"/>
      <c r="DC664" s="91"/>
      <c r="DD664" s="91"/>
      <c r="DE664" s="91"/>
      <c r="DF664" s="91"/>
      <c r="DG664" s="91"/>
      <c r="DH664" s="91"/>
      <c r="DI664" s="91"/>
      <c r="DJ664" s="91"/>
      <c r="DK664" s="91"/>
      <c r="DL664" s="91"/>
      <c r="DM664" s="91"/>
      <c r="DN664" s="91"/>
      <c r="DO664" s="91"/>
      <c r="DP664" s="91"/>
      <c r="DQ664" s="91"/>
      <c r="DR664" s="91"/>
      <c r="DS664" s="91"/>
      <c r="DT664" s="91"/>
      <c r="DU664" s="91"/>
      <c r="DV664" s="91"/>
      <c r="DW664" s="91"/>
      <c r="DX664" s="91"/>
      <c r="DY664" s="91"/>
    </row>
    <row r="665" spans="1:129" ht="15.75">
      <c r="A665" s="238"/>
      <c r="D665" s="192"/>
      <c r="E665" s="258"/>
      <c r="F665" s="193"/>
      <c r="G665" s="91"/>
      <c r="H665" s="91"/>
      <c r="I665" s="294"/>
      <c r="J665" s="193"/>
      <c r="K665" s="193"/>
      <c r="L665" s="193"/>
      <c r="M665" s="295"/>
      <c r="N665" s="91"/>
      <c r="O665" s="193"/>
      <c r="P665" s="356"/>
      <c r="Q665" s="91"/>
      <c r="R665" s="356"/>
      <c r="S665" s="357"/>
      <c r="T665" s="357"/>
      <c r="U665" s="357"/>
      <c r="V665" s="357"/>
      <c r="W665" s="357"/>
      <c r="X665" s="357"/>
      <c r="Y665" s="357"/>
      <c r="Z665" s="357"/>
      <c r="AA665" s="374"/>
      <c r="AB665" s="377"/>
      <c r="AC665" s="377"/>
      <c r="AD665" s="377"/>
      <c r="AE665" s="288"/>
      <c r="AF665" s="288"/>
      <c r="AG665" s="288"/>
      <c r="AH665" s="288"/>
      <c r="AI665" s="288"/>
      <c r="AJ665" s="288"/>
      <c r="AK665" s="374"/>
      <c r="AL665" s="91"/>
      <c r="AM665" s="376"/>
      <c r="AN665" s="376"/>
      <c r="AO665" s="286"/>
      <c r="AP665" s="286"/>
      <c r="AQ665" s="286"/>
      <c r="AR665" s="286"/>
      <c r="AS665" s="286"/>
      <c r="AT665" s="286"/>
      <c r="AU665" s="261"/>
      <c r="AV665" s="371"/>
      <c r="AW665" s="91"/>
      <c r="AX665" s="91"/>
      <c r="AY665" s="286"/>
      <c r="AZ665" s="286"/>
      <c r="BA665" s="286"/>
      <c r="BB665" s="286"/>
      <c r="BC665" s="286"/>
      <c r="BD665" s="286"/>
      <c r="BE665" s="261"/>
      <c r="BF665" s="261"/>
      <c r="BG665" s="261"/>
      <c r="BH665" s="261"/>
      <c r="BI665" s="261"/>
      <c r="BJ665" s="261"/>
      <c r="BK665" s="261"/>
      <c r="BL665" s="91"/>
      <c r="BM665" s="278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  <c r="BZ665" s="91"/>
      <c r="CA665" s="91"/>
      <c r="CB665" s="91"/>
      <c r="CC665" s="91"/>
      <c r="CD665" s="91"/>
      <c r="CE665" s="91"/>
      <c r="CF665" s="91"/>
      <c r="CG665" s="91"/>
      <c r="CH665" s="91"/>
      <c r="CI665" s="91"/>
      <c r="CJ665" s="91"/>
      <c r="CK665" s="91"/>
      <c r="CL665" s="91"/>
      <c r="CM665" s="91"/>
      <c r="CN665" s="91"/>
      <c r="CO665" s="91"/>
      <c r="CP665" s="91"/>
      <c r="CQ665" s="91"/>
      <c r="CR665" s="91"/>
      <c r="CS665" s="91"/>
      <c r="CT665" s="91"/>
      <c r="CU665" s="91"/>
      <c r="CV665" s="91"/>
      <c r="CW665" s="91"/>
      <c r="CX665" s="91"/>
      <c r="CY665" s="91"/>
      <c r="CZ665" s="91"/>
      <c r="DA665" s="91"/>
      <c r="DB665" s="91"/>
      <c r="DC665" s="91"/>
      <c r="DD665" s="91"/>
      <c r="DE665" s="91"/>
      <c r="DF665" s="91"/>
      <c r="DG665" s="91"/>
      <c r="DH665" s="91"/>
      <c r="DI665" s="91"/>
      <c r="DJ665" s="91"/>
      <c r="DK665" s="91"/>
      <c r="DL665" s="91"/>
      <c r="DM665" s="91"/>
      <c r="DN665" s="91"/>
      <c r="DO665" s="91"/>
      <c r="DP665" s="91"/>
      <c r="DQ665" s="91"/>
      <c r="DR665" s="91"/>
      <c r="DS665" s="91"/>
      <c r="DT665" s="91"/>
      <c r="DU665" s="91"/>
      <c r="DV665" s="91"/>
      <c r="DW665" s="91"/>
      <c r="DX665" s="91"/>
      <c r="DY665" s="91"/>
    </row>
    <row r="666" spans="1:129" ht="15.75">
      <c r="A666" s="238"/>
      <c r="D666" s="192"/>
      <c r="E666" s="258"/>
      <c r="F666" s="193"/>
      <c r="G666" s="91"/>
      <c r="H666" s="91"/>
      <c r="I666" s="294"/>
      <c r="J666" s="193"/>
      <c r="K666" s="193"/>
      <c r="L666" s="193"/>
      <c r="M666" s="295"/>
      <c r="N666" s="91"/>
      <c r="O666" s="193"/>
      <c r="P666" s="356"/>
      <c r="Q666" s="91"/>
      <c r="R666" s="356"/>
      <c r="S666" s="357"/>
      <c r="T666" s="357"/>
      <c r="U666" s="357"/>
      <c r="V666" s="357"/>
      <c r="W666" s="357"/>
      <c r="X666" s="357"/>
      <c r="Y666" s="357"/>
      <c r="Z666" s="357"/>
      <c r="AA666" s="374"/>
      <c r="AB666" s="377"/>
      <c r="AC666" s="377"/>
      <c r="AD666" s="377"/>
      <c r="AE666" s="288"/>
      <c r="AF666" s="288"/>
      <c r="AG666" s="288"/>
      <c r="AH666" s="288"/>
      <c r="AI666" s="288"/>
      <c r="AJ666" s="288"/>
      <c r="AK666" s="374"/>
      <c r="AL666" s="91"/>
      <c r="AM666" s="376"/>
      <c r="AN666" s="376"/>
      <c r="AO666" s="286"/>
      <c r="AP666" s="286"/>
      <c r="AQ666" s="286"/>
      <c r="AR666" s="286"/>
      <c r="AS666" s="286"/>
      <c r="AT666" s="286"/>
      <c r="AU666" s="261"/>
      <c r="AV666" s="371"/>
      <c r="AW666" s="91"/>
      <c r="AX666" s="91"/>
      <c r="AY666" s="286"/>
      <c r="AZ666" s="286"/>
      <c r="BA666" s="286"/>
      <c r="BB666" s="286"/>
      <c r="BC666" s="286"/>
      <c r="BD666" s="286"/>
      <c r="BE666" s="261"/>
      <c r="BF666" s="261"/>
      <c r="BG666" s="261"/>
      <c r="BH666" s="261"/>
      <c r="BI666" s="261"/>
      <c r="BJ666" s="261"/>
      <c r="BK666" s="261"/>
      <c r="BL666" s="91"/>
      <c r="BM666" s="278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  <c r="BZ666" s="91"/>
      <c r="CA666" s="91"/>
      <c r="CB666" s="91"/>
      <c r="CC666" s="91"/>
      <c r="CD666" s="91"/>
      <c r="CE666" s="91"/>
      <c r="CF666" s="91"/>
      <c r="CG666" s="91"/>
      <c r="CH666" s="91"/>
      <c r="CI666" s="91"/>
      <c r="CJ666" s="91"/>
      <c r="CK666" s="91"/>
      <c r="CL666" s="91"/>
      <c r="CM666" s="91"/>
      <c r="CN666" s="91"/>
      <c r="CO666" s="91"/>
      <c r="CP666" s="91"/>
      <c r="CQ666" s="91"/>
      <c r="CR666" s="91"/>
      <c r="CS666" s="91"/>
      <c r="CT666" s="91"/>
      <c r="CU666" s="91"/>
      <c r="CV666" s="91"/>
      <c r="CW666" s="91"/>
      <c r="CX666" s="91"/>
      <c r="CY666" s="91"/>
      <c r="CZ666" s="91"/>
      <c r="DA666" s="91"/>
      <c r="DB666" s="91"/>
      <c r="DC666" s="91"/>
      <c r="DD666" s="91"/>
      <c r="DE666" s="91"/>
      <c r="DF666" s="91"/>
      <c r="DG666" s="91"/>
      <c r="DH666" s="91"/>
      <c r="DI666" s="91"/>
      <c r="DJ666" s="91"/>
      <c r="DK666" s="91"/>
      <c r="DL666" s="91"/>
      <c r="DM666" s="91"/>
      <c r="DN666" s="91"/>
      <c r="DO666" s="91"/>
      <c r="DP666" s="91"/>
      <c r="DQ666" s="91"/>
      <c r="DR666" s="91"/>
      <c r="DS666" s="91"/>
      <c r="DT666" s="91"/>
      <c r="DU666" s="91"/>
      <c r="DV666" s="91"/>
      <c r="DW666" s="91"/>
      <c r="DX666" s="91"/>
      <c r="DY666" s="91"/>
    </row>
    <row r="667" spans="1:129" ht="15.75">
      <c r="A667" s="238"/>
      <c r="D667" s="192"/>
      <c r="E667" s="258"/>
      <c r="F667" s="193"/>
      <c r="G667" s="91"/>
      <c r="H667" s="91"/>
      <c r="I667" s="294"/>
      <c r="J667" s="193"/>
      <c r="K667" s="193"/>
      <c r="L667" s="193"/>
      <c r="M667" s="295"/>
      <c r="N667" s="91"/>
      <c r="O667" s="193"/>
      <c r="P667" s="356"/>
      <c r="Q667" s="91"/>
      <c r="R667" s="356"/>
      <c r="S667" s="357"/>
      <c r="T667" s="357"/>
      <c r="U667" s="357"/>
      <c r="V667" s="357"/>
      <c r="W667" s="357"/>
      <c r="X667" s="357"/>
      <c r="Y667" s="357"/>
      <c r="Z667" s="357"/>
      <c r="AA667" s="374"/>
      <c r="AB667" s="377"/>
      <c r="AC667" s="377"/>
      <c r="AD667" s="377"/>
      <c r="AE667" s="288"/>
      <c r="AF667" s="288"/>
      <c r="AG667" s="288"/>
      <c r="AH667" s="288"/>
      <c r="AI667" s="288"/>
      <c r="AJ667" s="288"/>
      <c r="AK667" s="374"/>
      <c r="AL667" s="91"/>
      <c r="AM667" s="376"/>
      <c r="AN667" s="376"/>
      <c r="AO667" s="286"/>
      <c r="AP667" s="286"/>
      <c r="AQ667" s="286"/>
      <c r="AR667" s="286"/>
      <c r="AS667" s="286"/>
      <c r="AT667" s="286"/>
      <c r="AU667" s="261"/>
      <c r="AV667" s="371"/>
      <c r="AW667" s="91"/>
      <c r="AX667" s="91"/>
      <c r="AY667" s="286"/>
      <c r="AZ667" s="286"/>
      <c r="BA667" s="286"/>
      <c r="BB667" s="286"/>
      <c r="BC667" s="286"/>
      <c r="BD667" s="286"/>
      <c r="BE667" s="261"/>
      <c r="BF667" s="261"/>
      <c r="BG667" s="261"/>
      <c r="BH667" s="261"/>
      <c r="BI667" s="261"/>
      <c r="BJ667" s="261"/>
      <c r="BK667" s="261"/>
      <c r="BL667" s="91"/>
      <c r="BM667" s="278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  <c r="BZ667" s="91"/>
      <c r="CA667" s="91"/>
      <c r="CB667" s="91"/>
      <c r="CC667" s="91"/>
      <c r="CD667" s="91"/>
      <c r="CE667" s="91"/>
      <c r="CF667" s="91"/>
      <c r="CG667" s="91"/>
      <c r="CH667" s="91"/>
      <c r="CI667" s="91"/>
      <c r="CJ667" s="91"/>
      <c r="CK667" s="91"/>
      <c r="CL667" s="91"/>
      <c r="CM667" s="91"/>
      <c r="CN667" s="91"/>
      <c r="CO667" s="91"/>
      <c r="CP667" s="91"/>
      <c r="CQ667" s="91"/>
      <c r="CR667" s="91"/>
      <c r="CS667" s="91"/>
      <c r="CT667" s="91"/>
      <c r="CU667" s="91"/>
      <c r="CV667" s="91"/>
      <c r="CW667" s="91"/>
      <c r="CX667" s="91"/>
      <c r="CY667" s="91"/>
      <c r="CZ667" s="91"/>
      <c r="DA667" s="91"/>
      <c r="DB667" s="91"/>
      <c r="DC667" s="91"/>
      <c r="DD667" s="91"/>
      <c r="DE667" s="91"/>
      <c r="DF667" s="91"/>
      <c r="DG667" s="91"/>
      <c r="DH667" s="91"/>
      <c r="DI667" s="91"/>
      <c r="DJ667" s="91"/>
      <c r="DK667" s="91"/>
      <c r="DL667" s="91"/>
      <c r="DM667" s="91"/>
      <c r="DN667" s="91"/>
      <c r="DO667" s="91"/>
      <c r="DP667" s="91"/>
      <c r="DQ667" s="91"/>
      <c r="DR667" s="91"/>
      <c r="DS667" s="91"/>
      <c r="DT667" s="91"/>
      <c r="DU667" s="91"/>
      <c r="DV667" s="91"/>
      <c r="DW667" s="91"/>
      <c r="DX667" s="91"/>
      <c r="DY667" s="91"/>
    </row>
    <row r="668" spans="1:129" ht="15.75">
      <c r="A668" s="238"/>
      <c r="D668" s="192"/>
      <c r="E668" s="258"/>
      <c r="F668" s="193"/>
      <c r="G668" s="91"/>
      <c r="H668" s="91"/>
      <c r="I668" s="294"/>
      <c r="J668" s="193"/>
      <c r="K668" s="193"/>
      <c r="L668" s="193"/>
      <c r="M668" s="295"/>
      <c r="N668" s="91"/>
      <c r="O668" s="193"/>
      <c r="P668" s="356"/>
      <c r="Q668" s="91"/>
      <c r="R668" s="356"/>
      <c r="S668" s="357"/>
      <c r="T668" s="357"/>
      <c r="U668" s="357"/>
      <c r="V668" s="357"/>
      <c r="W668" s="357"/>
      <c r="X668" s="357"/>
      <c r="Y668" s="357"/>
      <c r="Z668" s="357"/>
      <c r="AA668" s="374"/>
      <c r="AB668" s="377"/>
      <c r="AC668" s="377"/>
      <c r="AD668" s="377"/>
      <c r="AE668" s="288"/>
      <c r="AF668" s="288"/>
      <c r="AG668" s="288"/>
      <c r="AH668" s="288"/>
      <c r="AI668" s="288"/>
      <c r="AJ668" s="288"/>
      <c r="AK668" s="374"/>
      <c r="AL668" s="91"/>
      <c r="AM668" s="376"/>
      <c r="AN668" s="376"/>
      <c r="AO668" s="286"/>
      <c r="AP668" s="286"/>
      <c r="AQ668" s="286"/>
      <c r="AR668" s="286"/>
      <c r="AS668" s="286"/>
      <c r="AT668" s="286"/>
      <c r="AU668" s="261"/>
      <c r="AV668" s="371"/>
      <c r="AW668" s="91"/>
      <c r="AX668" s="91"/>
      <c r="AY668" s="286"/>
      <c r="AZ668" s="286"/>
      <c r="BA668" s="286"/>
      <c r="BB668" s="286"/>
      <c r="BC668" s="286"/>
      <c r="BD668" s="286"/>
      <c r="BE668" s="261"/>
      <c r="BF668" s="261"/>
      <c r="BG668" s="261"/>
      <c r="BH668" s="261"/>
      <c r="BI668" s="261"/>
      <c r="BJ668" s="261"/>
      <c r="BK668" s="261"/>
      <c r="BL668" s="91"/>
      <c r="BM668" s="278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  <c r="BZ668" s="91"/>
      <c r="CA668" s="91"/>
      <c r="CB668" s="91"/>
      <c r="CC668" s="91"/>
      <c r="CD668" s="91"/>
      <c r="CE668" s="91"/>
      <c r="CF668" s="91"/>
      <c r="CG668" s="91"/>
      <c r="CH668" s="91"/>
      <c r="CI668" s="91"/>
      <c r="CJ668" s="91"/>
      <c r="CK668" s="91"/>
      <c r="CL668" s="91"/>
      <c r="CM668" s="91"/>
      <c r="CN668" s="91"/>
      <c r="CO668" s="91"/>
      <c r="CP668" s="91"/>
      <c r="CQ668" s="91"/>
      <c r="CR668" s="91"/>
      <c r="CS668" s="91"/>
      <c r="CT668" s="91"/>
      <c r="CU668" s="91"/>
      <c r="CV668" s="91"/>
      <c r="CW668" s="91"/>
      <c r="CX668" s="91"/>
      <c r="CY668" s="91"/>
      <c r="CZ668" s="91"/>
      <c r="DA668" s="91"/>
      <c r="DB668" s="91"/>
      <c r="DC668" s="91"/>
      <c r="DD668" s="91"/>
      <c r="DE668" s="91"/>
      <c r="DF668" s="91"/>
      <c r="DG668" s="91"/>
      <c r="DH668" s="91"/>
      <c r="DI668" s="91"/>
      <c r="DJ668" s="91"/>
      <c r="DK668" s="91"/>
      <c r="DL668" s="91"/>
      <c r="DM668" s="91"/>
      <c r="DN668" s="91"/>
      <c r="DO668" s="91"/>
      <c r="DP668" s="91"/>
      <c r="DQ668" s="91"/>
      <c r="DR668" s="91"/>
      <c r="DS668" s="91"/>
      <c r="DT668" s="91"/>
      <c r="DU668" s="91"/>
      <c r="DV668" s="91"/>
      <c r="DW668" s="91"/>
      <c r="DX668" s="91"/>
      <c r="DY668" s="91"/>
    </row>
    <row r="669" spans="1:129" ht="15.75">
      <c r="A669" s="238"/>
      <c r="D669" s="192"/>
      <c r="E669" s="258"/>
      <c r="F669" s="193"/>
      <c r="G669" s="91"/>
      <c r="H669" s="91"/>
      <c r="I669" s="294"/>
      <c r="J669" s="193"/>
      <c r="K669" s="193"/>
      <c r="L669" s="193"/>
      <c r="M669" s="295"/>
      <c r="N669" s="91"/>
      <c r="O669" s="193"/>
      <c r="P669" s="356"/>
      <c r="Q669" s="91"/>
      <c r="R669" s="356"/>
      <c r="S669" s="357"/>
      <c r="T669" s="357"/>
      <c r="U669" s="357"/>
      <c r="V669" s="357"/>
      <c r="W669" s="357"/>
      <c r="X669" s="357"/>
      <c r="Y669" s="357"/>
      <c r="Z669" s="357"/>
      <c r="AA669" s="374"/>
      <c r="AB669" s="377"/>
      <c r="AC669" s="377"/>
      <c r="AD669" s="377"/>
      <c r="AE669" s="288"/>
      <c r="AF669" s="288"/>
      <c r="AG669" s="288"/>
      <c r="AH669" s="288"/>
      <c r="AI669" s="288"/>
      <c r="AJ669" s="288"/>
      <c r="AK669" s="374"/>
      <c r="AL669" s="91"/>
      <c r="AM669" s="376"/>
      <c r="AN669" s="376"/>
      <c r="AO669" s="286"/>
      <c r="AP669" s="286"/>
      <c r="AQ669" s="286"/>
      <c r="AR669" s="286"/>
      <c r="AS669" s="286"/>
      <c r="AT669" s="286"/>
      <c r="AU669" s="261"/>
      <c r="AV669" s="371"/>
      <c r="AW669" s="91"/>
      <c r="AX669" s="91"/>
      <c r="AY669" s="286"/>
      <c r="AZ669" s="286"/>
      <c r="BA669" s="286"/>
      <c r="BB669" s="286"/>
      <c r="BC669" s="286"/>
      <c r="BD669" s="286"/>
      <c r="BE669" s="261"/>
      <c r="BF669" s="261"/>
      <c r="BG669" s="261"/>
      <c r="BH669" s="261"/>
      <c r="BI669" s="261"/>
      <c r="BJ669" s="261"/>
      <c r="BK669" s="261"/>
      <c r="BL669" s="91"/>
      <c r="BM669" s="278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  <c r="BZ669" s="91"/>
      <c r="CA669" s="91"/>
      <c r="CB669" s="91"/>
      <c r="CC669" s="91"/>
      <c r="CD669" s="91"/>
      <c r="CE669" s="91"/>
      <c r="CF669" s="91"/>
      <c r="CG669" s="91"/>
      <c r="CH669" s="91"/>
      <c r="CI669" s="91"/>
      <c r="CJ669" s="91"/>
      <c r="CK669" s="91"/>
      <c r="CL669" s="91"/>
      <c r="CM669" s="91"/>
      <c r="CN669" s="91"/>
      <c r="CO669" s="91"/>
      <c r="CP669" s="91"/>
      <c r="CQ669" s="91"/>
      <c r="CR669" s="91"/>
      <c r="CS669" s="91"/>
      <c r="CT669" s="91"/>
      <c r="CU669" s="91"/>
      <c r="CV669" s="91"/>
      <c r="CW669" s="91"/>
      <c r="CX669" s="91"/>
      <c r="CY669" s="91"/>
      <c r="CZ669" s="91"/>
      <c r="DA669" s="91"/>
      <c r="DB669" s="91"/>
      <c r="DC669" s="91"/>
      <c r="DD669" s="91"/>
      <c r="DE669" s="91"/>
      <c r="DF669" s="91"/>
      <c r="DG669" s="91"/>
      <c r="DH669" s="91"/>
      <c r="DI669" s="91"/>
      <c r="DJ669" s="91"/>
      <c r="DK669" s="91"/>
      <c r="DL669" s="91"/>
      <c r="DM669" s="91"/>
      <c r="DN669" s="91"/>
      <c r="DO669" s="91"/>
      <c r="DP669" s="91"/>
      <c r="DQ669" s="91"/>
      <c r="DR669" s="91"/>
      <c r="DS669" s="91"/>
      <c r="DT669" s="91"/>
      <c r="DU669" s="91"/>
      <c r="DV669" s="91"/>
      <c r="DW669" s="91"/>
      <c r="DX669" s="91"/>
      <c r="DY669" s="91"/>
    </row>
    <row r="670" spans="1:129" ht="15.75">
      <c r="A670" s="238"/>
      <c r="D670" s="192"/>
      <c r="E670" s="258"/>
      <c r="F670" s="193"/>
      <c r="G670" s="91"/>
      <c r="H670" s="91"/>
      <c r="I670" s="294"/>
      <c r="J670" s="193"/>
      <c r="K670" s="193"/>
      <c r="L670" s="193"/>
      <c r="M670" s="295"/>
      <c r="N670" s="91"/>
      <c r="O670" s="193"/>
      <c r="P670" s="356"/>
      <c r="Q670" s="91"/>
      <c r="R670" s="356"/>
      <c r="S670" s="357"/>
      <c r="T670" s="357"/>
      <c r="U670" s="357"/>
      <c r="V670" s="357"/>
      <c r="W670" s="357"/>
      <c r="X670" s="357"/>
      <c r="Y670" s="357"/>
      <c r="Z670" s="357"/>
      <c r="AA670" s="374"/>
      <c r="AB670" s="377"/>
      <c r="AC670" s="377"/>
      <c r="AD670" s="377"/>
      <c r="AE670" s="288"/>
      <c r="AF670" s="288"/>
      <c r="AG670" s="288"/>
      <c r="AH670" s="288"/>
      <c r="AI670" s="288"/>
      <c r="AJ670" s="288"/>
      <c r="AK670" s="374"/>
      <c r="AL670" s="91"/>
      <c r="AM670" s="376"/>
      <c r="AN670" s="376"/>
      <c r="AO670" s="286"/>
      <c r="AP670" s="286"/>
      <c r="AQ670" s="286"/>
      <c r="AR670" s="286"/>
      <c r="AS670" s="286"/>
      <c r="AT670" s="286"/>
      <c r="AU670" s="261"/>
      <c r="AV670" s="371"/>
      <c r="AW670" s="91"/>
      <c r="AX670" s="91"/>
      <c r="AY670" s="286"/>
      <c r="AZ670" s="286"/>
      <c r="BA670" s="286"/>
      <c r="BB670" s="286"/>
      <c r="BC670" s="286"/>
      <c r="BD670" s="286"/>
      <c r="BE670" s="261"/>
      <c r="BF670" s="261"/>
      <c r="BG670" s="261"/>
      <c r="BH670" s="261"/>
      <c r="BI670" s="261"/>
      <c r="BJ670" s="261"/>
      <c r="BK670" s="261"/>
      <c r="BL670" s="91"/>
      <c r="BM670" s="278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  <c r="BZ670" s="91"/>
      <c r="CA670" s="91"/>
      <c r="CB670" s="91"/>
      <c r="CC670" s="91"/>
      <c r="CD670" s="91"/>
      <c r="CE670" s="91"/>
      <c r="CF670" s="91"/>
      <c r="CG670" s="91"/>
      <c r="CH670" s="91"/>
      <c r="CI670" s="91"/>
      <c r="CJ670" s="91"/>
      <c r="CK670" s="91"/>
      <c r="CL670" s="91"/>
      <c r="CM670" s="91"/>
      <c r="CN670" s="91"/>
      <c r="CO670" s="91"/>
      <c r="CP670" s="91"/>
      <c r="CQ670" s="91"/>
      <c r="CR670" s="91"/>
      <c r="CS670" s="91"/>
      <c r="CT670" s="91"/>
      <c r="CU670" s="91"/>
      <c r="CV670" s="91"/>
      <c r="CW670" s="91"/>
      <c r="CX670" s="91"/>
      <c r="CY670" s="91"/>
      <c r="CZ670" s="91"/>
      <c r="DA670" s="91"/>
      <c r="DB670" s="91"/>
      <c r="DC670" s="91"/>
      <c r="DD670" s="91"/>
      <c r="DE670" s="91"/>
      <c r="DF670" s="91"/>
      <c r="DG670" s="91"/>
      <c r="DH670" s="91"/>
      <c r="DI670" s="91"/>
      <c r="DJ670" s="91"/>
      <c r="DK670" s="91"/>
      <c r="DL670" s="91"/>
      <c r="DM670" s="91"/>
      <c r="DN670" s="91"/>
      <c r="DO670" s="91"/>
      <c r="DP670" s="91"/>
      <c r="DQ670" s="91"/>
      <c r="DR670" s="91"/>
      <c r="DS670" s="91"/>
      <c r="DT670" s="91"/>
      <c r="DU670" s="91"/>
      <c r="DV670" s="91"/>
      <c r="DW670" s="91"/>
      <c r="DX670" s="91"/>
      <c r="DY670" s="91"/>
    </row>
    <row r="671" spans="1:129" ht="15.75">
      <c r="A671" s="238"/>
      <c r="D671" s="192"/>
      <c r="E671" s="258"/>
      <c r="F671" s="193"/>
      <c r="G671" s="91"/>
      <c r="H671" s="91"/>
      <c r="I671" s="294"/>
      <c r="J671" s="193"/>
      <c r="K671" s="193"/>
      <c r="L671" s="193"/>
      <c r="M671" s="295"/>
      <c r="N671" s="91"/>
      <c r="O671" s="193"/>
      <c r="P671" s="356"/>
      <c r="Q671" s="91"/>
      <c r="R671" s="356"/>
      <c r="S671" s="357"/>
      <c r="T671" s="357"/>
      <c r="U671" s="357"/>
      <c r="V671" s="357"/>
      <c r="W671" s="357"/>
      <c r="X671" s="357"/>
      <c r="Y671" s="357"/>
      <c r="Z671" s="357"/>
      <c r="AA671" s="374"/>
      <c r="AB671" s="377"/>
      <c r="AC671" s="377"/>
      <c r="AD671" s="377"/>
      <c r="AE671" s="288"/>
      <c r="AF671" s="288"/>
      <c r="AG671" s="288"/>
      <c r="AH671" s="288"/>
      <c r="AI671" s="288"/>
      <c r="AJ671" s="288"/>
      <c r="AK671" s="374"/>
      <c r="AL671" s="91"/>
      <c r="AM671" s="376"/>
      <c r="AN671" s="376"/>
      <c r="AO671" s="286"/>
      <c r="AP671" s="286"/>
      <c r="AQ671" s="286"/>
      <c r="AR671" s="286"/>
      <c r="AS671" s="286"/>
      <c r="AT671" s="286"/>
      <c r="AU671" s="261"/>
      <c r="AV671" s="371"/>
      <c r="AW671" s="91"/>
      <c r="AX671" s="91"/>
      <c r="AY671" s="286"/>
      <c r="AZ671" s="286"/>
      <c r="BA671" s="286"/>
      <c r="BB671" s="286"/>
      <c r="BC671" s="286"/>
      <c r="BD671" s="286"/>
      <c r="BE671" s="261"/>
      <c r="BF671" s="261"/>
      <c r="BG671" s="261"/>
      <c r="BH671" s="261"/>
      <c r="BI671" s="261"/>
      <c r="BJ671" s="261"/>
      <c r="BK671" s="261"/>
      <c r="BL671" s="91"/>
      <c r="BM671" s="278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  <c r="BZ671" s="91"/>
      <c r="CA671" s="91"/>
      <c r="CB671" s="91"/>
      <c r="CC671" s="91"/>
      <c r="CD671" s="91"/>
      <c r="CE671" s="91"/>
      <c r="CF671" s="91"/>
      <c r="CG671" s="91"/>
      <c r="CH671" s="91"/>
      <c r="CI671" s="91"/>
      <c r="CJ671" s="91"/>
      <c r="CK671" s="91"/>
      <c r="CL671" s="91"/>
      <c r="CM671" s="91"/>
      <c r="CN671" s="91"/>
      <c r="CO671" s="91"/>
      <c r="CP671" s="91"/>
      <c r="CQ671" s="91"/>
      <c r="CR671" s="91"/>
      <c r="CS671" s="91"/>
      <c r="CT671" s="91"/>
      <c r="CU671" s="91"/>
      <c r="CV671" s="91"/>
      <c r="CW671" s="91"/>
      <c r="CX671" s="91"/>
      <c r="CY671" s="91"/>
      <c r="CZ671" s="91"/>
      <c r="DA671" s="91"/>
      <c r="DB671" s="91"/>
      <c r="DC671" s="91"/>
      <c r="DD671" s="91"/>
      <c r="DE671" s="91"/>
      <c r="DF671" s="91"/>
      <c r="DG671" s="91"/>
      <c r="DH671" s="91"/>
      <c r="DI671" s="91"/>
      <c r="DJ671" s="91"/>
      <c r="DK671" s="91"/>
      <c r="DL671" s="91"/>
      <c r="DM671" s="91"/>
      <c r="DN671" s="91"/>
      <c r="DO671" s="91"/>
      <c r="DP671" s="91"/>
      <c r="DQ671" s="91"/>
      <c r="DR671" s="91"/>
      <c r="DS671" s="91"/>
      <c r="DT671" s="91"/>
      <c r="DU671" s="91"/>
      <c r="DV671" s="91"/>
      <c r="DW671" s="91"/>
      <c r="DX671" s="91"/>
      <c r="DY671" s="91"/>
    </row>
    <row r="672" spans="1:129" ht="15.75">
      <c r="A672" s="238"/>
      <c r="D672" s="192"/>
      <c r="E672" s="258"/>
      <c r="F672" s="193"/>
      <c r="G672" s="91"/>
      <c r="H672" s="91"/>
      <c r="I672" s="294"/>
      <c r="J672" s="193"/>
      <c r="K672" s="193"/>
      <c r="L672" s="193"/>
      <c r="M672" s="295"/>
      <c r="N672" s="91"/>
      <c r="O672" s="193"/>
      <c r="P672" s="356"/>
      <c r="Q672" s="91"/>
      <c r="R672" s="356"/>
      <c r="S672" s="357"/>
      <c r="T672" s="357"/>
      <c r="U672" s="357"/>
      <c r="V672" s="357"/>
      <c r="W672" s="357"/>
      <c r="X672" s="357"/>
      <c r="Y672" s="357"/>
      <c r="Z672" s="357"/>
      <c r="AA672" s="374"/>
      <c r="AB672" s="377"/>
      <c r="AC672" s="377"/>
      <c r="AD672" s="377"/>
      <c r="AE672" s="288"/>
      <c r="AF672" s="288"/>
      <c r="AG672" s="288"/>
      <c r="AH672" s="288"/>
      <c r="AI672" s="288"/>
      <c r="AJ672" s="288"/>
      <c r="AK672" s="374"/>
      <c r="AL672" s="91"/>
      <c r="AM672" s="376"/>
      <c r="AN672" s="376"/>
      <c r="AO672" s="286"/>
      <c r="AP672" s="286"/>
      <c r="AQ672" s="286"/>
      <c r="AR672" s="286"/>
      <c r="AS672" s="286"/>
      <c r="AT672" s="286"/>
      <c r="AU672" s="261"/>
      <c r="AV672" s="371"/>
      <c r="AW672" s="91"/>
      <c r="AX672" s="91"/>
      <c r="AY672" s="286"/>
      <c r="AZ672" s="286"/>
      <c r="BA672" s="286"/>
      <c r="BB672" s="286"/>
      <c r="BC672" s="286"/>
      <c r="BD672" s="286"/>
      <c r="BE672" s="261"/>
      <c r="BF672" s="261"/>
      <c r="BG672" s="261"/>
      <c r="BH672" s="261"/>
      <c r="BI672" s="261"/>
      <c r="BJ672" s="261"/>
      <c r="BK672" s="261"/>
      <c r="BL672" s="91"/>
      <c r="BM672" s="278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  <c r="BZ672" s="91"/>
      <c r="CA672" s="91"/>
      <c r="CB672" s="91"/>
      <c r="CC672" s="91"/>
      <c r="CD672" s="91"/>
      <c r="CE672" s="91"/>
      <c r="CF672" s="91"/>
      <c r="CG672" s="91"/>
      <c r="CH672" s="91"/>
      <c r="CI672" s="91"/>
      <c r="CJ672" s="91"/>
      <c r="CK672" s="91"/>
      <c r="CL672" s="91"/>
      <c r="CM672" s="91"/>
      <c r="CN672" s="91"/>
      <c r="CO672" s="91"/>
      <c r="CP672" s="91"/>
      <c r="CQ672" s="91"/>
      <c r="CR672" s="91"/>
      <c r="CS672" s="91"/>
      <c r="CT672" s="91"/>
      <c r="CU672" s="91"/>
      <c r="CV672" s="91"/>
      <c r="CW672" s="91"/>
      <c r="CX672" s="91"/>
      <c r="CY672" s="91"/>
      <c r="CZ672" s="91"/>
      <c r="DA672" s="91"/>
      <c r="DB672" s="91"/>
      <c r="DC672" s="91"/>
      <c r="DD672" s="91"/>
      <c r="DE672" s="91"/>
      <c r="DF672" s="91"/>
      <c r="DG672" s="91"/>
      <c r="DH672" s="91"/>
      <c r="DI672" s="91"/>
      <c r="DJ672" s="91"/>
      <c r="DK672" s="91"/>
      <c r="DL672" s="91"/>
      <c r="DM672" s="91"/>
      <c r="DN672" s="91"/>
      <c r="DO672" s="91"/>
      <c r="DP672" s="91"/>
      <c r="DQ672" s="91"/>
      <c r="DR672" s="91"/>
      <c r="DS672" s="91"/>
      <c r="DT672" s="91"/>
      <c r="DU672" s="91"/>
      <c r="DV672" s="91"/>
      <c r="DW672" s="91"/>
      <c r="DX672" s="91"/>
      <c r="DY672" s="91"/>
    </row>
    <row r="673" spans="1:129" ht="15.75">
      <c r="A673" s="238"/>
      <c r="D673" s="192"/>
      <c r="E673" s="258"/>
      <c r="F673" s="193"/>
      <c r="G673" s="91"/>
      <c r="H673" s="91"/>
      <c r="I673" s="294"/>
      <c r="J673" s="193"/>
      <c r="K673" s="193"/>
      <c r="L673" s="193"/>
      <c r="M673" s="295"/>
      <c r="N673" s="91"/>
      <c r="O673" s="193"/>
      <c r="P673" s="356"/>
      <c r="Q673" s="91"/>
      <c r="R673" s="356"/>
      <c r="S673" s="357"/>
      <c r="T673" s="357"/>
      <c r="U673" s="357"/>
      <c r="V673" s="357"/>
      <c r="W673" s="357"/>
      <c r="X673" s="357"/>
      <c r="Y673" s="357"/>
      <c r="Z673" s="357"/>
      <c r="AA673" s="374"/>
      <c r="AB673" s="377"/>
      <c r="AC673" s="377"/>
      <c r="AD673" s="377"/>
      <c r="AE673" s="288"/>
      <c r="AF673" s="288"/>
      <c r="AG673" s="288"/>
      <c r="AH673" s="288"/>
      <c r="AI673" s="288"/>
      <c r="AJ673" s="288"/>
      <c r="AK673" s="374"/>
      <c r="AL673" s="91"/>
      <c r="AM673" s="376"/>
      <c r="AN673" s="376"/>
      <c r="AO673" s="286"/>
      <c r="AP673" s="286"/>
      <c r="AQ673" s="286"/>
      <c r="AR673" s="286"/>
      <c r="AS673" s="286"/>
      <c r="AT673" s="286"/>
      <c r="AU673" s="261"/>
      <c r="AV673" s="371"/>
      <c r="AW673" s="91"/>
      <c r="AX673" s="91"/>
      <c r="AY673" s="286"/>
      <c r="AZ673" s="286"/>
      <c r="BA673" s="286"/>
      <c r="BB673" s="286"/>
      <c r="BC673" s="286"/>
      <c r="BD673" s="286"/>
      <c r="BE673" s="261"/>
      <c r="BF673" s="261"/>
      <c r="BG673" s="261"/>
      <c r="BH673" s="261"/>
      <c r="BI673" s="261"/>
      <c r="BJ673" s="261"/>
      <c r="BK673" s="261"/>
      <c r="BL673" s="91"/>
      <c r="BM673" s="278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  <c r="BZ673" s="91"/>
      <c r="CA673" s="91"/>
      <c r="CB673" s="91"/>
      <c r="CC673" s="91"/>
      <c r="CD673" s="91"/>
      <c r="CE673" s="91"/>
      <c r="CF673" s="91"/>
      <c r="CG673" s="91"/>
      <c r="CH673" s="91"/>
      <c r="CI673" s="91"/>
      <c r="CJ673" s="91"/>
      <c r="CK673" s="91"/>
      <c r="CL673" s="91"/>
      <c r="CM673" s="91"/>
      <c r="CN673" s="91"/>
      <c r="CO673" s="91"/>
      <c r="CP673" s="91"/>
      <c r="CQ673" s="91"/>
      <c r="CR673" s="91"/>
      <c r="CS673" s="91"/>
      <c r="CT673" s="91"/>
      <c r="CU673" s="91"/>
      <c r="CV673" s="91"/>
      <c r="CW673" s="91"/>
      <c r="CX673" s="91"/>
      <c r="CY673" s="91"/>
      <c r="CZ673" s="91"/>
      <c r="DA673" s="91"/>
      <c r="DB673" s="91"/>
      <c r="DC673" s="91"/>
      <c r="DD673" s="91"/>
      <c r="DE673" s="91"/>
      <c r="DF673" s="91"/>
      <c r="DG673" s="91"/>
      <c r="DH673" s="91"/>
      <c r="DI673" s="91"/>
      <c r="DJ673" s="91"/>
      <c r="DK673" s="91"/>
      <c r="DL673" s="91"/>
      <c r="DM673" s="91"/>
      <c r="DN673" s="91"/>
      <c r="DO673" s="91"/>
      <c r="DP673" s="91"/>
      <c r="DQ673" s="91"/>
      <c r="DR673" s="91"/>
      <c r="DS673" s="91"/>
      <c r="DT673" s="91"/>
      <c r="DU673" s="91"/>
      <c r="DV673" s="91"/>
      <c r="DW673" s="91"/>
      <c r="DX673" s="91"/>
      <c r="DY673" s="91"/>
    </row>
    <row r="674" spans="1:129" ht="15.75">
      <c r="A674" s="238"/>
      <c r="D674" s="192"/>
      <c r="E674" s="258"/>
      <c r="F674" s="193"/>
      <c r="G674" s="91"/>
      <c r="H674" s="91"/>
      <c r="I674" s="294"/>
      <c r="J674" s="193"/>
      <c r="K674" s="193"/>
      <c r="L674" s="193"/>
      <c r="M674" s="295"/>
      <c r="N674" s="91"/>
      <c r="O674" s="193"/>
      <c r="P674" s="356"/>
      <c r="Q674" s="91"/>
      <c r="R674" s="356"/>
      <c r="S674" s="357"/>
      <c r="T674" s="357"/>
      <c r="U674" s="357"/>
      <c r="V674" s="357"/>
      <c r="W674" s="357"/>
      <c r="X674" s="357"/>
      <c r="Y674" s="357"/>
      <c r="Z674" s="357"/>
      <c r="AA674" s="374"/>
      <c r="AB674" s="377"/>
      <c r="AC674" s="377"/>
      <c r="AD674" s="377"/>
      <c r="AE674" s="288"/>
      <c r="AF674" s="288"/>
      <c r="AG674" s="288"/>
      <c r="AH674" s="288"/>
      <c r="AI674" s="288"/>
      <c r="AJ674" s="288"/>
      <c r="AK674" s="374"/>
      <c r="AL674" s="91"/>
      <c r="AM674" s="376"/>
      <c r="AN674" s="376"/>
      <c r="AO674" s="286"/>
      <c r="AP674" s="286"/>
      <c r="AQ674" s="286"/>
      <c r="AR674" s="286"/>
      <c r="AS674" s="286"/>
      <c r="AT674" s="286"/>
      <c r="AU674" s="261"/>
      <c r="AV674" s="371"/>
      <c r="AW674" s="91"/>
      <c r="AX674" s="91"/>
      <c r="AY674" s="286"/>
      <c r="AZ674" s="286"/>
      <c r="BA674" s="286"/>
      <c r="BB674" s="286"/>
      <c r="BC674" s="286"/>
      <c r="BD674" s="286"/>
      <c r="BE674" s="261"/>
      <c r="BF674" s="261"/>
      <c r="BG674" s="261"/>
      <c r="BH674" s="261"/>
      <c r="BI674" s="261"/>
      <c r="BJ674" s="261"/>
      <c r="BK674" s="261"/>
      <c r="BL674" s="91"/>
      <c r="BM674" s="278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  <c r="BZ674" s="91"/>
      <c r="CA674" s="91"/>
      <c r="CB674" s="91"/>
      <c r="CC674" s="91"/>
      <c r="CD674" s="91"/>
      <c r="CE674" s="91"/>
      <c r="CF674" s="91"/>
      <c r="CG674" s="91"/>
      <c r="CH674" s="91"/>
      <c r="CI674" s="91"/>
      <c r="CJ674" s="91"/>
      <c r="CK674" s="91"/>
      <c r="CL674" s="91"/>
      <c r="CM674" s="91"/>
      <c r="CN674" s="91"/>
      <c r="CO674" s="91"/>
      <c r="CP674" s="91"/>
      <c r="CQ674" s="91"/>
      <c r="CR674" s="91"/>
      <c r="CS674" s="91"/>
      <c r="CT674" s="91"/>
      <c r="CU674" s="91"/>
      <c r="CV674" s="91"/>
      <c r="CW674" s="91"/>
      <c r="CX674" s="91"/>
      <c r="CY674" s="91"/>
      <c r="CZ674" s="91"/>
      <c r="DA674" s="91"/>
      <c r="DB674" s="91"/>
      <c r="DC674" s="91"/>
      <c r="DD674" s="91"/>
      <c r="DE674" s="91"/>
      <c r="DF674" s="91"/>
      <c r="DG674" s="91"/>
      <c r="DH674" s="91"/>
      <c r="DI674" s="91"/>
      <c r="DJ674" s="91"/>
      <c r="DK674" s="91"/>
      <c r="DL674" s="91"/>
      <c r="DM674" s="91"/>
      <c r="DN674" s="91"/>
      <c r="DO674" s="91"/>
      <c r="DP674" s="91"/>
      <c r="DQ674" s="91"/>
      <c r="DR674" s="91"/>
      <c r="DS674" s="91"/>
      <c r="DT674" s="91"/>
      <c r="DU674" s="91"/>
      <c r="DV674" s="91"/>
      <c r="DW674" s="91"/>
      <c r="DX674" s="91"/>
      <c r="DY674" s="91"/>
    </row>
    <row r="675" spans="1:129" ht="15.75">
      <c r="A675" s="238"/>
      <c r="D675" s="192"/>
      <c r="E675" s="258"/>
      <c r="F675" s="193"/>
      <c r="G675" s="91"/>
      <c r="H675" s="91"/>
      <c r="I675" s="294"/>
      <c r="J675" s="193"/>
      <c r="K675" s="193"/>
      <c r="L675" s="193"/>
      <c r="M675" s="295"/>
      <c r="N675" s="91"/>
      <c r="O675" s="193"/>
      <c r="P675" s="356"/>
      <c r="Q675" s="91"/>
      <c r="R675" s="356"/>
      <c r="S675" s="357"/>
      <c r="T675" s="357"/>
      <c r="U675" s="357"/>
      <c r="V675" s="357"/>
      <c r="W675" s="357"/>
      <c r="X675" s="357"/>
      <c r="Y675" s="357"/>
      <c r="Z675" s="357"/>
      <c r="AA675" s="374"/>
      <c r="AB675" s="377"/>
      <c r="AC675" s="377"/>
      <c r="AD675" s="377"/>
      <c r="AE675" s="288"/>
      <c r="AF675" s="288"/>
      <c r="AG675" s="288"/>
      <c r="AH675" s="288"/>
      <c r="AI675" s="288"/>
      <c r="AJ675" s="288"/>
      <c r="AK675" s="374"/>
      <c r="AL675" s="91"/>
      <c r="AM675" s="376"/>
      <c r="AN675" s="376"/>
      <c r="AO675" s="286"/>
      <c r="AP675" s="286"/>
      <c r="AQ675" s="286"/>
      <c r="AR675" s="286"/>
      <c r="AS675" s="286"/>
      <c r="AT675" s="286"/>
      <c r="AU675" s="261"/>
      <c r="AV675" s="371"/>
      <c r="AW675" s="91"/>
      <c r="AX675" s="91"/>
      <c r="AY675" s="286"/>
      <c r="AZ675" s="286"/>
      <c r="BA675" s="286"/>
      <c r="BB675" s="286"/>
      <c r="BC675" s="286"/>
      <c r="BD675" s="286"/>
      <c r="BE675" s="261"/>
      <c r="BF675" s="261"/>
      <c r="BG675" s="261"/>
      <c r="BH675" s="261"/>
      <c r="BI675" s="261"/>
      <c r="BJ675" s="261"/>
      <c r="BK675" s="261"/>
      <c r="BL675" s="91"/>
      <c r="BM675" s="278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  <c r="BZ675" s="91"/>
      <c r="CA675" s="91"/>
      <c r="CB675" s="91"/>
      <c r="CC675" s="91"/>
      <c r="CD675" s="91"/>
      <c r="CE675" s="91"/>
      <c r="CF675" s="91"/>
      <c r="CG675" s="91"/>
      <c r="CH675" s="91"/>
      <c r="CI675" s="91"/>
      <c r="CJ675" s="91"/>
      <c r="CK675" s="91"/>
      <c r="CL675" s="91"/>
      <c r="CM675" s="91"/>
      <c r="CN675" s="91"/>
      <c r="CO675" s="91"/>
      <c r="CP675" s="91"/>
      <c r="CQ675" s="91"/>
      <c r="CR675" s="91"/>
      <c r="CS675" s="91"/>
      <c r="CT675" s="91"/>
      <c r="CU675" s="91"/>
      <c r="CV675" s="91"/>
      <c r="CW675" s="91"/>
      <c r="CX675" s="91"/>
      <c r="CY675" s="91"/>
      <c r="CZ675" s="91"/>
      <c r="DA675" s="91"/>
      <c r="DB675" s="91"/>
      <c r="DC675" s="91"/>
      <c r="DD675" s="91"/>
      <c r="DE675" s="91"/>
      <c r="DF675" s="91"/>
      <c r="DG675" s="91"/>
      <c r="DH675" s="91"/>
      <c r="DI675" s="91"/>
      <c r="DJ675" s="91"/>
      <c r="DK675" s="91"/>
      <c r="DL675" s="91"/>
      <c r="DM675" s="91"/>
      <c r="DN675" s="91"/>
      <c r="DO675" s="91"/>
      <c r="DP675" s="91"/>
      <c r="DQ675" s="91"/>
      <c r="DR675" s="91"/>
      <c r="DS675" s="91"/>
      <c r="DT675" s="91"/>
      <c r="DU675" s="91"/>
      <c r="DV675" s="91"/>
      <c r="DW675" s="91"/>
      <c r="DX675" s="91"/>
      <c r="DY675" s="91"/>
    </row>
    <row r="676" spans="1:129" ht="15.75">
      <c r="A676" s="238"/>
      <c r="D676" s="192"/>
      <c r="E676" s="258"/>
      <c r="F676" s="193"/>
      <c r="G676" s="91"/>
      <c r="H676" s="91"/>
      <c r="I676" s="294"/>
      <c r="J676" s="193"/>
      <c r="K676" s="193"/>
      <c r="L676" s="193"/>
      <c r="M676" s="295"/>
      <c r="N676" s="91"/>
      <c r="O676" s="193"/>
      <c r="P676" s="356"/>
      <c r="Q676" s="91"/>
      <c r="R676" s="356"/>
      <c r="S676" s="357"/>
      <c r="T676" s="357"/>
      <c r="U676" s="357"/>
      <c r="V676" s="357"/>
      <c r="W676" s="357"/>
      <c r="X676" s="357"/>
      <c r="Y676" s="357"/>
      <c r="Z676" s="357"/>
      <c r="AA676" s="374"/>
      <c r="AB676" s="377"/>
      <c r="AC676" s="377"/>
      <c r="AD676" s="377"/>
      <c r="AE676" s="288"/>
      <c r="AF676" s="288"/>
      <c r="AG676" s="288"/>
      <c r="AH676" s="288"/>
      <c r="AI676" s="288"/>
      <c r="AJ676" s="288"/>
      <c r="AK676" s="374"/>
      <c r="AL676" s="91"/>
      <c r="AM676" s="376"/>
      <c r="AN676" s="376"/>
      <c r="AO676" s="286"/>
      <c r="AP676" s="286"/>
      <c r="AQ676" s="286"/>
      <c r="AR676" s="286"/>
      <c r="AS676" s="286"/>
      <c r="AT676" s="286"/>
      <c r="AU676" s="261"/>
      <c r="AV676" s="371"/>
      <c r="AW676" s="91"/>
      <c r="AX676" s="91"/>
      <c r="AY676" s="286"/>
      <c r="AZ676" s="286"/>
      <c r="BA676" s="286"/>
      <c r="BB676" s="286"/>
      <c r="BC676" s="286"/>
      <c r="BD676" s="286"/>
      <c r="BE676" s="261"/>
      <c r="BF676" s="261"/>
      <c r="BG676" s="261"/>
      <c r="BH676" s="261"/>
      <c r="BI676" s="261"/>
      <c r="BJ676" s="261"/>
      <c r="BK676" s="261"/>
      <c r="BL676" s="91"/>
      <c r="BM676" s="278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  <c r="BZ676" s="91"/>
      <c r="CA676" s="91"/>
      <c r="CB676" s="91"/>
      <c r="CC676" s="91"/>
      <c r="CD676" s="91"/>
      <c r="CE676" s="91"/>
      <c r="CF676" s="91"/>
      <c r="CG676" s="91"/>
      <c r="CH676" s="91"/>
      <c r="CI676" s="91"/>
      <c r="CJ676" s="91"/>
      <c r="CK676" s="91"/>
      <c r="CL676" s="91"/>
      <c r="CM676" s="91"/>
      <c r="CN676" s="91"/>
      <c r="CO676" s="91"/>
      <c r="CP676" s="91"/>
      <c r="CQ676" s="91"/>
      <c r="CR676" s="91"/>
      <c r="CS676" s="91"/>
      <c r="CT676" s="91"/>
      <c r="CU676" s="91"/>
      <c r="CV676" s="91"/>
      <c r="CW676" s="91"/>
      <c r="CX676" s="91"/>
      <c r="CY676" s="91"/>
      <c r="CZ676" s="91"/>
      <c r="DA676" s="91"/>
      <c r="DB676" s="91"/>
      <c r="DC676" s="91"/>
      <c r="DD676" s="91"/>
      <c r="DE676" s="91"/>
      <c r="DF676" s="91"/>
      <c r="DG676" s="91"/>
      <c r="DH676" s="91"/>
      <c r="DI676" s="91"/>
      <c r="DJ676" s="91"/>
      <c r="DK676" s="91"/>
      <c r="DL676" s="91"/>
      <c r="DM676" s="91"/>
      <c r="DN676" s="91"/>
      <c r="DO676" s="91"/>
      <c r="DP676" s="91"/>
      <c r="DQ676" s="91"/>
      <c r="DR676" s="91"/>
      <c r="DS676" s="91"/>
      <c r="DT676" s="91"/>
      <c r="DU676" s="91"/>
      <c r="DV676" s="91"/>
      <c r="DW676" s="91"/>
      <c r="DX676" s="91"/>
      <c r="DY676" s="91"/>
    </row>
    <row r="677" spans="1:129" ht="15.75">
      <c r="A677" s="238"/>
      <c r="D677" s="192"/>
      <c r="E677" s="258"/>
      <c r="F677" s="193"/>
      <c r="G677" s="91"/>
      <c r="H677" s="91"/>
      <c r="I677" s="294"/>
      <c r="J677" s="193"/>
      <c r="K677" s="193"/>
      <c r="L677" s="193"/>
      <c r="M677" s="295"/>
      <c r="N677" s="91"/>
      <c r="O677" s="193"/>
      <c r="P677" s="356"/>
      <c r="Q677" s="91"/>
      <c r="R677" s="356"/>
      <c r="S677" s="357"/>
      <c r="T677" s="357"/>
      <c r="U677" s="357"/>
      <c r="V677" s="357"/>
      <c r="W677" s="357"/>
      <c r="X677" s="357"/>
      <c r="Y677" s="357"/>
      <c r="Z677" s="357"/>
      <c r="AA677" s="374"/>
      <c r="AB677" s="377"/>
      <c r="AC677" s="377"/>
      <c r="AD677" s="377"/>
      <c r="AE677" s="288"/>
      <c r="AF677" s="288"/>
      <c r="AG677" s="288"/>
      <c r="AH677" s="288"/>
      <c r="AI677" s="288"/>
      <c r="AJ677" s="288"/>
      <c r="AK677" s="374"/>
      <c r="AL677" s="91"/>
      <c r="AM677" s="376"/>
      <c r="AN677" s="376"/>
      <c r="AO677" s="286"/>
      <c r="AP677" s="286"/>
      <c r="AQ677" s="286"/>
      <c r="AR677" s="286"/>
      <c r="AS677" s="286"/>
      <c r="AT677" s="286"/>
      <c r="AU677" s="261"/>
      <c r="AV677" s="371"/>
      <c r="AW677" s="91"/>
      <c r="AX677" s="91"/>
      <c r="AY677" s="286"/>
      <c r="AZ677" s="286"/>
      <c r="BA677" s="286"/>
      <c r="BB677" s="286"/>
      <c r="BC677" s="286"/>
      <c r="BD677" s="286"/>
      <c r="BE677" s="261"/>
      <c r="BF677" s="261"/>
      <c r="BG677" s="261"/>
      <c r="BH677" s="261"/>
      <c r="BI677" s="261"/>
      <c r="BJ677" s="261"/>
      <c r="BK677" s="261"/>
      <c r="BL677" s="91"/>
      <c r="BM677" s="278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  <c r="BZ677" s="91"/>
      <c r="CA677" s="91"/>
      <c r="CB677" s="91"/>
      <c r="CC677" s="91"/>
      <c r="CD677" s="91"/>
      <c r="CE677" s="91"/>
      <c r="CF677" s="91"/>
      <c r="CG677" s="91"/>
      <c r="CH677" s="91"/>
      <c r="CI677" s="91"/>
      <c r="CJ677" s="91"/>
      <c r="CK677" s="91"/>
      <c r="CL677" s="91"/>
      <c r="CM677" s="91"/>
      <c r="CN677" s="91"/>
      <c r="CO677" s="91"/>
      <c r="CP677" s="91"/>
      <c r="CQ677" s="91"/>
      <c r="CR677" s="91"/>
      <c r="CS677" s="91"/>
      <c r="CT677" s="91"/>
      <c r="CU677" s="91"/>
      <c r="CV677" s="91"/>
      <c r="CW677" s="91"/>
      <c r="CX677" s="91"/>
      <c r="CY677" s="91"/>
      <c r="CZ677" s="91"/>
      <c r="DA677" s="91"/>
      <c r="DB677" s="91"/>
      <c r="DC677" s="91"/>
      <c r="DD677" s="91"/>
      <c r="DE677" s="91"/>
      <c r="DF677" s="91"/>
      <c r="DG677" s="91"/>
      <c r="DH677" s="91"/>
      <c r="DI677" s="91"/>
      <c r="DJ677" s="91"/>
      <c r="DK677" s="91"/>
      <c r="DL677" s="91"/>
      <c r="DM677" s="91"/>
      <c r="DN677" s="91"/>
      <c r="DO677" s="91"/>
      <c r="DP677" s="91"/>
      <c r="DQ677" s="91"/>
      <c r="DR677" s="91"/>
      <c r="DS677" s="91"/>
      <c r="DT677" s="91"/>
      <c r="DU677" s="91"/>
      <c r="DV677" s="91"/>
      <c r="DW677" s="91"/>
      <c r="DX677" s="91"/>
      <c r="DY677" s="91"/>
    </row>
    <row r="678" spans="1:129" ht="15.75">
      <c r="A678" s="238"/>
      <c r="D678" s="192"/>
      <c r="E678" s="258"/>
      <c r="F678" s="193"/>
      <c r="G678" s="91"/>
      <c r="H678" s="91"/>
      <c r="I678" s="294"/>
      <c r="J678" s="193"/>
      <c r="K678" s="193"/>
      <c r="L678" s="193"/>
      <c r="M678" s="295"/>
      <c r="N678" s="91"/>
      <c r="O678" s="193"/>
      <c r="P678" s="356"/>
      <c r="Q678" s="91"/>
      <c r="R678" s="356"/>
      <c r="S678" s="357"/>
      <c r="T678" s="357"/>
      <c r="U678" s="357"/>
      <c r="V678" s="357"/>
      <c r="W678" s="357"/>
      <c r="X678" s="357"/>
      <c r="Y678" s="357"/>
      <c r="Z678" s="357"/>
      <c r="AA678" s="374"/>
      <c r="AB678" s="377"/>
      <c r="AC678" s="377"/>
      <c r="AD678" s="377"/>
      <c r="AE678" s="288"/>
      <c r="AF678" s="288"/>
      <c r="AG678" s="288"/>
      <c r="AH678" s="288"/>
      <c r="AI678" s="288"/>
      <c r="AJ678" s="288"/>
      <c r="AK678" s="374"/>
      <c r="AL678" s="91"/>
      <c r="AM678" s="376"/>
      <c r="AN678" s="376"/>
      <c r="AO678" s="286"/>
      <c r="AP678" s="286"/>
      <c r="AQ678" s="286"/>
      <c r="AR678" s="286"/>
      <c r="AS678" s="286"/>
      <c r="AT678" s="286"/>
      <c r="AU678" s="261"/>
      <c r="AV678" s="371"/>
      <c r="AW678" s="91"/>
      <c r="AX678" s="91"/>
      <c r="AY678" s="286"/>
      <c r="AZ678" s="286"/>
      <c r="BA678" s="286"/>
      <c r="BB678" s="286"/>
      <c r="BC678" s="286"/>
      <c r="BD678" s="286"/>
      <c r="BE678" s="261"/>
      <c r="BF678" s="261"/>
      <c r="BG678" s="261"/>
      <c r="BH678" s="261"/>
      <c r="BI678" s="261"/>
      <c r="BJ678" s="261"/>
      <c r="BK678" s="261"/>
      <c r="BL678" s="91"/>
      <c r="BM678" s="278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  <c r="BZ678" s="91"/>
      <c r="CA678" s="91"/>
      <c r="CB678" s="91"/>
      <c r="CC678" s="91"/>
      <c r="CD678" s="91"/>
      <c r="CE678" s="91"/>
      <c r="CF678" s="91"/>
      <c r="CG678" s="91"/>
      <c r="CH678" s="91"/>
      <c r="CI678" s="91"/>
      <c r="CJ678" s="91"/>
      <c r="CK678" s="91"/>
      <c r="CL678" s="91"/>
      <c r="CM678" s="91"/>
      <c r="CN678" s="91"/>
      <c r="CO678" s="91"/>
      <c r="CP678" s="91"/>
      <c r="CQ678" s="91"/>
      <c r="CR678" s="91"/>
      <c r="CS678" s="91"/>
      <c r="CT678" s="91"/>
      <c r="CU678" s="91"/>
      <c r="CV678" s="91"/>
      <c r="CW678" s="91"/>
      <c r="CX678" s="91"/>
      <c r="CY678" s="91"/>
      <c r="CZ678" s="91"/>
      <c r="DA678" s="91"/>
      <c r="DB678" s="91"/>
      <c r="DC678" s="91"/>
      <c r="DD678" s="91"/>
      <c r="DE678" s="91"/>
      <c r="DF678" s="91"/>
      <c r="DG678" s="91"/>
      <c r="DH678" s="91"/>
      <c r="DI678" s="91"/>
      <c r="DJ678" s="91"/>
      <c r="DK678" s="91"/>
      <c r="DL678" s="91"/>
      <c r="DM678" s="91"/>
      <c r="DN678" s="91"/>
      <c r="DO678" s="91"/>
      <c r="DP678" s="91"/>
      <c r="DQ678" s="91"/>
      <c r="DR678" s="91"/>
      <c r="DS678" s="91"/>
      <c r="DT678" s="91"/>
      <c r="DU678" s="91"/>
      <c r="DV678" s="91"/>
      <c r="DW678" s="91"/>
      <c r="DX678" s="91"/>
      <c r="DY678" s="91"/>
    </row>
    <row r="679" spans="1:129" ht="15.75">
      <c r="A679" s="238"/>
      <c r="D679" s="192"/>
      <c r="E679" s="258"/>
      <c r="F679" s="193"/>
      <c r="G679" s="91"/>
      <c r="H679" s="91"/>
      <c r="I679" s="294"/>
      <c r="J679" s="193"/>
      <c r="K679" s="193"/>
      <c r="L679" s="193"/>
      <c r="M679" s="295"/>
      <c r="N679" s="91"/>
      <c r="O679" s="193"/>
      <c r="P679" s="356"/>
      <c r="Q679" s="91"/>
      <c r="R679" s="356"/>
      <c r="S679" s="357"/>
      <c r="T679" s="357"/>
      <c r="U679" s="357"/>
      <c r="V679" s="357"/>
      <c r="W679" s="357"/>
      <c r="X679" s="357"/>
      <c r="Y679" s="357"/>
      <c r="Z679" s="357"/>
      <c r="AA679" s="374"/>
      <c r="AB679" s="377"/>
      <c r="AC679" s="377"/>
      <c r="AD679" s="377"/>
      <c r="AE679" s="288"/>
      <c r="AF679" s="288"/>
      <c r="AG679" s="288"/>
      <c r="AH679" s="288"/>
      <c r="AI679" s="288"/>
      <c r="AJ679" s="288"/>
      <c r="AK679" s="374"/>
      <c r="AL679" s="91"/>
      <c r="AM679" s="376"/>
      <c r="AN679" s="376"/>
      <c r="AO679" s="286"/>
      <c r="AP679" s="286"/>
      <c r="AQ679" s="286"/>
      <c r="AR679" s="286"/>
      <c r="AS679" s="286"/>
      <c r="AT679" s="286"/>
      <c r="AU679" s="261"/>
      <c r="AV679" s="371"/>
      <c r="AW679" s="91"/>
      <c r="AX679" s="91"/>
      <c r="AY679" s="286"/>
      <c r="AZ679" s="286"/>
      <c r="BA679" s="286"/>
      <c r="BB679" s="286"/>
      <c r="BC679" s="286"/>
      <c r="BD679" s="286"/>
      <c r="BE679" s="261"/>
      <c r="BF679" s="261"/>
      <c r="BG679" s="261"/>
      <c r="BH679" s="261"/>
      <c r="BI679" s="261"/>
      <c r="BJ679" s="261"/>
      <c r="BK679" s="261"/>
      <c r="BL679" s="91"/>
      <c r="BM679" s="278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  <c r="BZ679" s="91"/>
      <c r="CA679" s="91"/>
      <c r="CB679" s="91"/>
      <c r="CC679" s="91"/>
      <c r="CD679" s="91"/>
      <c r="CE679" s="91"/>
      <c r="CF679" s="91"/>
      <c r="CG679" s="91"/>
      <c r="CH679" s="91"/>
      <c r="CI679" s="91"/>
      <c r="CJ679" s="91"/>
      <c r="CK679" s="91"/>
      <c r="CL679" s="91"/>
      <c r="CM679" s="91"/>
      <c r="CN679" s="91"/>
      <c r="CO679" s="91"/>
      <c r="CP679" s="91"/>
      <c r="CQ679" s="91"/>
      <c r="CR679" s="91"/>
      <c r="CS679" s="91"/>
      <c r="CT679" s="91"/>
      <c r="CU679" s="91"/>
      <c r="CV679" s="91"/>
      <c r="CW679" s="91"/>
      <c r="CX679" s="91"/>
      <c r="CY679" s="91"/>
      <c r="CZ679" s="91"/>
      <c r="DA679" s="91"/>
      <c r="DB679" s="91"/>
      <c r="DC679" s="91"/>
      <c r="DD679" s="91"/>
      <c r="DE679" s="91"/>
      <c r="DF679" s="91"/>
      <c r="DG679" s="91"/>
      <c r="DH679" s="91"/>
      <c r="DI679" s="91"/>
      <c r="DJ679" s="91"/>
      <c r="DK679" s="91"/>
      <c r="DL679" s="91"/>
      <c r="DM679" s="91"/>
      <c r="DN679" s="91"/>
      <c r="DO679" s="91"/>
      <c r="DP679" s="91"/>
      <c r="DQ679" s="91"/>
      <c r="DR679" s="91"/>
      <c r="DS679" s="91"/>
      <c r="DT679" s="91"/>
      <c r="DU679" s="91"/>
      <c r="DV679" s="91"/>
      <c r="DW679" s="91"/>
      <c r="DX679" s="91"/>
      <c r="DY679" s="91"/>
    </row>
    <row r="680" spans="1:129" ht="15.75">
      <c r="A680" s="238"/>
      <c r="D680" s="192"/>
      <c r="E680" s="258"/>
      <c r="F680" s="193"/>
      <c r="G680" s="91"/>
      <c r="H680" s="91"/>
      <c r="I680" s="294"/>
      <c r="J680" s="193"/>
      <c r="K680" s="193"/>
      <c r="L680" s="193"/>
      <c r="M680" s="295"/>
      <c r="N680" s="91"/>
      <c r="O680" s="193"/>
      <c r="P680" s="356"/>
      <c r="Q680" s="91"/>
      <c r="R680" s="356"/>
      <c r="S680" s="357"/>
      <c r="T680" s="357"/>
      <c r="U680" s="357"/>
      <c r="V680" s="357"/>
      <c r="W680" s="357"/>
      <c r="X680" s="357"/>
      <c r="Y680" s="357"/>
      <c r="Z680" s="357"/>
      <c r="AA680" s="374"/>
      <c r="AB680" s="377"/>
      <c r="AC680" s="377"/>
      <c r="AD680" s="377"/>
      <c r="AE680" s="288"/>
      <c r="AF680" s="288"/>
      <c r="AG680" s="288"/>
      <c r="AH680" s="288"/>
      <c r="AI680" s="288"/>
      <c r="AJ680" s="288"/>
      <c r="AK680" s="374"/>
      <c r="AL680" s="91"/>
      <c r="AM680" s="376"/>
      <c r="AN680" s="376"/>
      <c r="AO680" s="286"/>
      <c r="AP680" s="286"/>
      <c r="AQ680" s="286"/>
      <c r="AR680" s="286"/>
      <c r="AS680" s="286"/>
      <c r="AT680" s="286"/>
      <c r="AU680" s="261"/>
      <c r="AV680" s="371"/>
      <c r="AW680" s="91"/>
      <c r="AX680" s="91"/>
      <c r="AY680" s="286"/>
      <c r="AZ680" s="286"/>
      <c r="BA680" s="286"/>
      <c r="BB680" s="286"/>
      <c r="BC680" s="286"/>
      <c r="BD680" s="286"/>
      <c r="BE680" s="261"/>
      <c r="BF680" s="261"/>
      <c r="BG680" s="261"/>
      <c r="BH680" s="261"/>
      <c r="BI680" s="261"/>
      <c r="BJ680" s="261"/>
      <c r="BK680" s="261"/>
      <c r="BL680" s="91"/>
      <c r="BM680" s="278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  <c r="BZ680" s="91"/>
      <c r="CA680" s="91"/>
      <c r="CB680" s="91"/>
      <c r="CC680" s="91"/>
      <c r="CD680" s="91"/>
      <c r="CE680" s="91"/>
      <c r="CF680" s="91"/>
      <c r="CG680" s="91"/>
      <c r="CH680" s="91"/>
      <c r="CI680" s="91"/>
      <c r="CJ680" s="91"/>
      <c r="CK680" s="91"/>
      <c r="CL680" s="91"/>
      <c r="CM680" s="91"/>
      <c r="CN680" s="91"/>
      <c r="CO680" s="91"/>
      <c r="CP680" s="91"/>
      <c r="CQ680" s="91"/>
      <c r="CR680" s="91"/>
      <c r="CS680" s="91"/>
      <c r="CT680" s="91"/>
      <c r="CU680" s="91"/>
      <c r="CV680" s="91"/>
      <c r="CW680" s="91"/>
      <c r="CX680" s="91"/>
      <c r="CY680" s="91"/>
      <c r="CZ680" s="91"/>
      <c r="DA680" s="91"/>
      <c r="DB680" s="91"/>
      <c r="DC680" s="91"/>
      <c r="DD680" s="91"/>
      <c r="DE680" s="91"/>
      <c r="DF680" s="91"/>
      <c r="DG680" s="91"/>
      <c r="DH680" s="91"/>
      <c r="DI680" s="91"/>
      <c r="DJ680" s="91"/>
      <c r="DK680" s="91"/>
      <c r="DL680" s="91"/>
      <c r="DM680" s="91"/>
      <c r="DN680" s="91"/>
      <c r="DO680" s="91"/>
      <c r="DP680" s="91"/>
      <c r="DQ680" s="91"/>
      <c r="DR680" s="91"/>
      <c r="DS680" s="91"/>
      <c r="DT680" s="91"/>
      <c r="DU680" s="91"/>
      <c r="DV680" s="91"/>
      <c r="DW680" s="91"/>
      <c r="DX680" s="91"/>
      <c r="DY680" s="91"/>
    </row>
    <row r="681" spans="1:129" ht="15.75">
      <c r="A681" s="238"/>
      <c r="D681" s="192"/>
      <c r="E681" s="258"/>
      <c r="F681" s="193"/>
      <c r="G681" s="91"/>
      <c r="H681" s="91"/>
      <c r="I681" s="294"/>
      <c r="J681" s="193"/>
      <c r="K681" s="193"/>
      <c r="L681" s="193"/>
      <c r="M681" s="295"/>
      <c r="N681" s="91"/>
      <c r="O681" s="193"/>
      <c r="P681" s="356"/>
      <c r="Q681" s="91"/>
      <c r="R681" s="356"/>
      <c r="S681" s="357"/>
      <c r="T681" s="357"/>
      <c r="U681" s="357"/>
      <c r="V681" s="357"/>
      <c r="W681" s="357"/>
      <c r="X681" s="357"/>
      <c r="Y681" s="357"/>
      <c r="Z681" s="357"/>
      <c r="AA681" s="374"/>
      <c r="AB681" s="377"/>
      <c r="AC681" s="377"/>
      <c r="AD681" s="377"/>
      <c r="AE681" s="288"/>
      <c r="AF681" s="288"/>
      <c r="AG681" s="288"/>
      <c r="AH681" s="288"/>
      <c r="AI681" s="288"/>
      <c r="AJ681" s="288"/>
      <c r="AK681" s="374"/>
      <c r="AL681" s="91"/>
      <c r="AM681" s="376"/>
      <c r="AN681" s="376"/>
      <c r="AO681" s="286"/>
      <c r="AP681" s="286"/>
      <c r="AQ681" s="286"/>
      <c r="AR681" s="286"/>
      <c r="AS681" s="286"/>
      <c r="AT681" s="286"/>
      <c r="AU681" s="261"/>
      <c r="AV681" s="371"/>
      <c r="AW681" s="91"/>
      <c r="AX681" s="91"/>
      <c r="AY681" s="286"/>
      <c r="AZ681" s="286"/>
      <c r="BA681" s="286"/>
      <c r="BB681" s="286"/>
      <c r="BC681" s="286"/>
      <c r="BD681" s="286"/>
      <c r="BE681" s="261"/>
      <c r="BF681" s="261"/>
      <c r="BG681" s="261"/>
      <c r="BH681" s="261"/>
      <c r="BI681" s="261"/>
      <c r="BJ681" s="261"/>
      <c r="BK681" s="261"/>
      <c r="BL681" s="91"/>
      <c r="BM681" s="278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  <c r="BZ681" s="91"/>
      <c r="CA681" s="91"/>
      <c r="CB681" s="91"/>
      <c r="CC681" s="91"/>
      <c r="CD681" s="91"/>
      <c r="CE681" s="91"/>
      <c r="CF681" s="91"/>
      <c r="CG681" s="91"/>
      <c r="CH681" s="91"/>
      <c r="CI681" s="91"/>
      <c r="CJ681" s="91"/>
      <c r="CK681" s="91"/>
      <c r="CL681" s="91"/>
      <c r="CM681" s="91"/>
      <c r="CN681" s="91"/>
      <c r="CO681" s="91"/>
      <c r="CP681" s="91"/>
      <c r="CQ681" s="91"/>
      <c r="CR681" s="91"/>
      <c r="CS681" s="91"/>
      <c r="CT681" s="91"/>
      <c r="CU681" s="91"/>
      <c r="CV681" s="91"/>
      <c r="CW681" s="91"/>
      <c r="CX681" s="91"/>
      <c r="CY681" s="91"/>
      <c r="CZ681" s="91"/>
      <c r="DA681" s="91"/>
      <c r="DB681" s="91"/>
      <c r="DC681" s="91"/>
      <c r="DD681" s="91"/>
      <c r="DE681" s="91"/>
      <c r="DF681" s="91"/>
      <c r="DG681" s="91"/>
      <c r="DH681" s="91"/>
      <c r="DI681" s="91"/>
      <c r="DJ681" s="91"/>
      <c r="DK681" s="91"/>
      <c r="DL681" s="91"/>
      <c r="DM681" s="91"/>
      <c r="DN681" s="91"/>
      <c r="DO681" s="91"/>
      <c r="DP681" s="91"/>
      <c r="DQ681" s="91"/>
      <c r="DR681" s="91"/>
      <c r="DS681" s="91"/>
      <c r="DT681" s="91"/>
      <c r="DU681" s="91"/>
      <c r="DV681" s="91"/>
      <c r="DW681" s="91"/>
      <c r="DX681" s="91"/>
      <c r="DY681" s="91"/>
    </row>
    <row r="682" spans="1:129" ht="15.75">
      <c r="A682" s="238"/>
      <c r="D682" s="192"/>
      <c r="E682" s="258"/>
      <c r="F682" s="193"/>
      <c r="G682" s="91"/>
      <c r="H682" s="91"/>
      <c r="I682" s="294"/>
      <c r="J682" s="193"/>
      <c r="K682" s="193"/>
      <c r="L682" s="193"/>
      <c r="M682" s="295"/>
      <c r="N682" s="91"/>
      <c r="O682" s="193"/>
      <c r="P682" s="356"/>
      <c r="Q682" s="91"/>
      <c r="R682" s="356"/>
      <c r="S682" s="357"/>
      <c r="T682" s="357"/>
      <c r="U682" s="357"/>
      <c r="V682" s="357"/>
      <c r="W682" s="357"/>
      <c r="X682" s="357"/>
      <c r="Y682" s="357"/>
      <c r="Z682" s="357"/>
      <c r="AA682" s="374"/>
      <c r="AB682" s="377"/>
      <c r="AC682" s="377"/>
      <c r="AD682" s="377"/>
      <c r="AE682" s="288"/>
      <c r="AF682" s="288"/>
      <c r="AG682" s="288"/>
      <c r="AH682" s="288"/>
      <c r="AI682" s="288"/>
      <c r="AJ682" s="288"/>
      <c r="AK682" s="374"/>
      <c r="AL682" s="91"/>
      <c r="AM682" s="376"/>
      <c r="AN682" s="376"/>
      <c r="AO682" s="286"/>
      <c r="AP682" s="286"/>
      <c r="AQ682" s="286"/>
      <c r="AR682" s="286"/>
      <c r="AS682" s="286"/>
      <c r="AT682" s="286"/>
      <c r="AU682" s="261"/>
      <c r="AV682" s="371"/>
      <c r="AW682" s="91"/>
      <c r="AX682" s="91"/>
      <c r="AY682" s="286"/>
      <c r="AZ682" s="286"/>
      <c r="BA682" s="286"/>
      <c r="BB682" s="286"/>
      <c r="BC682" s="286"/>
      <c r="BD682" s="286"/>
      <c r="BE682" s="261"/>
      <c r="BF682" s="261"/>
      <c r="BG682" s="261"/>
      <c r="BH682" s="261"/>
      <c r="BI682" s="261"/>
      <c r="BJ682" s="261"/>
      <c r="BK682" s="261"/>
      <c r="BL682" s="91"/>
      <c r="BM682" s="278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  <c r="BZ682" s="91"/>
      <c r="CA682" s="91"/>
      <c r="CB682" s="91"/>
      <c r="CC682" s="91"/>
      <c r="CD682" s="91"/>
      <c r="CE682" s="91"/>
      <c r="CF682" s="91"/>
      <c r="CG682" s="91"/>
      <c r="CH682" s="91"/>
      <c r="CI682" s="91"/>
      <c r="CJ682" s="91"/>
      <c r="CK682" s="91"/>
      <c r="CL682" s="91"/>
      <c r="CM682" s="91"/>
      <c r="CN682" s="91"/>
      <c r="CO682" s="91"/>
      <c r="CP682" s="91"/>
      <c r="CQ682" s="91"/>
      <c r="CR682" s="91"/>
      <c r="CS682" s="91"/>
      <c r="CT682" s="91"/>
      <c r="CU682" s="91"/>
      <c r="CV682" s="91"/>
      <c r="CW682" s="91"/>
      <c r="CX682" s="91"/>
      <c r="CY682" s="91"/>
      <c r="CZ682" s="91"/>
      <c r="DA682" s="91"/>
      <c r="DB682" s="91"/>
      <c r="DC682" s="91"/>
      <c r="DD682" s="91"/>
      <c r="DE682" s="91"/>
      <c r="DF682" s="91"/>
      <c r="DG682" s="91"/>
      <c r="DH682" s="91"/>
      <c r="DI682" s="91"/>
      <c r="DJ682" s="91"/>
      <c r="DK682" s="91"/>
      <c r="DL682" s="91"/>
      <c r="DM682" s="91"/>
      <c r="DN682" s="91"/>
      <c r="DO682" s="91"/>
      <c r="DP682" s="91"/>
      <c r="DQ682" s="91"/>
      <c r="DR682" s="91"/>
      <c r="DS682" s="91"/>
      <c r="DT682" s="91"/>
      <c r="DU682" s="91"/>
      <c r="DV682" s="91"/>
      <c r="DW682" s="91"/>
      <c r="DX682" s="91"/>
      <c r="DY682" s="91"/>
    </row>
    <row r="683" spans="1:129" ht="15.75">
      <c r="A683" s="238"/>
      <c r="D683" s="192"/>
      <c r="E683" s="258"/>
      <c r="F683" s="193"/>
      <c r="G683" s="91"/>
      <c r="H683" s="91"/>
      <c r="I683" s="294"/>
      <c r="J683" s="193"/>
      <c r="K683" s="193"/>
      <c r="L683" s="193"/>
      <c r="M683" s="295"/>
      <c r="N683" s="91"/>
      <c r="O683" s="193"/>
      <c r="P683" s="356"/>
      <c r="Q683" s="91"/>
      <c r="R683" s="356"/>
      <c r="S683" s="357"/>
      <c r="T683" s="357"/>
      <c r="U683" s="357"/>
      <c r="V683" s="357"/>
      <c r="W683" s="357"/>
      <c r="X683" s="357"/>
      <c r="Y683" s="357"/>
      <c r="Z683" s="357"/>
      <c r="AA683" s="374"/>
      <c r="AB683" s="377"/>
      <c r="AC683" s="377"/>
      <c r="AD683" s="377"/>
      <c r="AE683" s="288"/>
      <c r="AF683" s="288"/>
      <c r="AG683" s="288"/>
      <c r="AH683" s="288"/>
      <c r="AI683" s="288"/>
      <c r="AJ683" s="288"/>
      <c r="AK683" s="374"/>
      <c r="AL683" s="91"/>
      <c r="AM683" s="376"/>
      <c r="AN683" s="376"/>
      <c r="AO683" s="286"/>
      <c r="AP683" s="286"/>
      <c r="AQ683" s="286"/>
      <c r="AR683" s="286"/>
      <c r="AS683" s="286"/>
      <c r="AT683" s="286"/>
      <c r="AU683" s="261"/>
      <c r="AV683" s="371"/>
      <c r="AW683" s="91"/>
      <c r="AX683" s="91"/>
      <c r="AY683" s="286"/>
      <c r="AZ683" s="286"/>
      <c r="BA683" s="286"/>
      <c r="BB683" s="286"/>
      <c r="BC683" s="286"/>
      <c r="BD683" s="286"/>
      <c r="BE683" s="261"/>
      <c r="BF683" s="261"/>
      <c r="BG683" s="261"/>
      <c r="BH683" s="261"/>
      <c r="BI683" s="261"/>
      <c r="BJ683" s="261"/>
      <c r="BK683" s="261"/>
      <c r="BL683" s="91"/>
      <c r="BM683" s="278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  <c r="BZ683" s="91"/>
      <c r="CA683" s="91"/>
      <c r="CB683" s="91"/>
      <c r="CC683" s="91"/>
      <c r="CD683" s="91"/>
      <c r="CE683" s="91"/>
      <c r="CF683" s="91"/>
      <c r="CG683" s="91"/>
      <c r="CH683" s="91"/>
      <c r="CI683" s="91"/>
      <c r="CJ683" s="91"/>
      <c r="CK683" s="91"/>
      <c r="CL683" s="91"/>
      <c r="CM683" s="91"/>
      <c r="CN683" s="91"/>
      <c r="CO683" s="91"/>
      <c r="CP683" s="91"/>
      <c r="CQ683" s="91"/>
      <c r="CR683" s="91"/>
      <c r="CS683" s="91"/>
      <c r="CT683" s="91"/>
      <c r="CU683" s="91"/>
      <c r="CV683" s="91"/>
      <c r="CW683" s="91"/>
      <c r="CX683" s="91"/>
      <c r="CY683" s="91"/>
      <c r="CZ683" s="91"/>
      <c r="DA683" s="91"/>
      <c r="DB683" s="91"/>
      <c r="DC683" s="91"/>
      <c r="DD683" s="91"/>
      <c r="DE683" s="91"/>
      <c r="DF683" s="91"/>
      <c r="DG683" s="91"/>
      <c r="DH683" s="91"/>
      <c r="DI683" s="91"/>
      <c r="DJ683" s="91"/>
      <c r="DK683" s="91"/>
      <c r="DL683" s="91"/>
      <c r="DM683" s="91"/>
      <c r="DN683" s="91"/>
      <c r="DO683" s="91"/>
      <c r="DP683" s="91"/>
      <c r="DQ683" s="91"/>
      <c r="DR683" s="91"/>
      <c r="DS683" s="91"/>
      <c r="DT683" s="91"/>
      <c r="DU683" s="91"/>
      <c r="DV683" s="91"/>
      <c r="DW683" s="91"/>
      <c r="DX683" s="91"/>
      <c r="DY683" s="91"/>
    </row>
    <row r="684" spans="1:129" ht="15.75">
      <c r="A684" s="238"/>
      <c r="D684" s="192"/>
      <c r="E684" s="258"/>
      <c r="F684" s="193"/>
      <c r="G684" s="91"/>
      <c r="H684" s="91"/>
      <c r="I684" s="294"/>
      <c r="J684" s="193"/>
      <c r="K684" s="193"/>
      <c r="L684" s="193"/>
      <c r="M684" s="295"/>
      <c r="N684" s="91"/>
      <c r="O684" s="193"/>
      <c r="P684" s="356"/>
      <c r="Q684" s="91"/>
      <c r="R684" s="356"/>
      <c r="S684" s="357"/>
      <c r="T684" s="357"/>
      <c r="U684" s="357"/>
      <c r="V684" s="357"/>
      <c r="W684" s="357"/>
      <c r="X684" s="357"/>
      <c r="Y684" s="357"/>
      <c r="Z684" s="357"/>
      <c r="AA684" s="374"/>
      <c r="AB684" s="377"/>
      <c r="AC684" s="377"/>
      <c r="AD684" s="377"/>
      <c r="AE684" s="288"/>
      <c r="AF684" s="288"/>
      <c r="AG684" s="288"/>
      <c r="AH684" s="288"/>
      <c r="AI684" s="288"/>
      <c r="AJ684" s="288"/>
      <c r="AK684" s="374"/>
      <c r="AL684" s="91"/>
      <c r="AM684" s="376"/>
      <c r="AN684" s="376"/>
      <c r="AO684" s="286"/>
      <c r="AP684" s="286"/>
      <c r="AQ684" s="286"/>
      <c r="AR684" s="286"/>
      <c r="AS684" s="286"/>
      <c r="AT684" s="286"/>
      <c r="AU684" s="261"/>
      <c r="AV684" s="371"/>
      <c r="AW684" s="91"/>
      <c r="AX684" s="91"/>
      <c r="AY684" s="286"/>
      <c r="AZ684" s="286"/>
      <c r="BA684" s="286"/>
      <c r="BB684" s="286"/>
      <c r="BC684" s="286"/>
      <c r="BD684" s="286"/>
      <c r="BE684" s="261"/>
      <c r="BF684" s="261"/>
      <c r="BG684" s="261"/>
      <c r="BH684" s="261"/>
      <c r="BI684" s="261"/>
      <c r="BJ684" s="261"/>
      <c r="BK684" s="261"/>
      <c r="BL684" s="91"/>
      <c r="BM684" s="278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  <c r="BZ684" s="91"/>
      <c r="CA684" s="91"/>
      <c r="CB684" s="91"/>
      <c r="CC684" s="91"/>
      <c r="CD684" s="91"/>
      <c r="CE684" s="91"/>
      <c r="CF684" s="91"/>
      <c r="CG684" s="91"/>
      <c r="CH684" s="91"/>
      <c r="CI684" s="91"/>
      <c r="CJ684" s="91"/>
      <c r="CK684" s="91"/>
      <c r="CL684" s="91"/>
      <c r="CM684" s="91"/>
      <c r="CN684" s="91"/>
      <c r="CO684" s="91"/>
      <c r="CP684" s="91"/>
      <c r="CQ684" s="91"/>
      <c r="CR684" s="91"/>
      <c r="CS684" s="91"/>
      <c r="CT684" s="91"/>
      <c r="CU684" s="91"/>
      <c r="CV684" s="91"/>
      <c r="CW684" s="91"/>
      <c r="CX684" s="91"/>
      <c r="CY684" s="91"/>
      <c r="CZ684" s="91"/>
      <c r="DA684" s="91"/>
      <c r="DB684" s="91"/>
      <c r="DC684" s="91"/>
      <c r="DD684" s="91"/>
      <c r="DE684" s="91"/>
      <c r="DF684" s="91"/>
      <c r="DG684" s="91"/>
      <c r="DH684" s="91"/>
      <c r="DI684" s="91"/>
      <c r="DJ684" s="91"/>
      <c r="DK684" s="91"/>
      <c r="DL684" s="91"/>
      <c r="DM684" s="91"/>
      <c r="DN684" s="91"/>
      <c r="DO684" s="91"/>
      <c r="DP684" s="91"/>
      <c r="DQ684" s="91"/>
      <c r="DR684" s="91"/>
      <c r="DS684" s="91"/>
      <c r="DT684" s="91"/>
      <c r="DU684" s="91"/>
      <c r="DV684" s="91"/>
      <c r="DW684" s="91"/>
      <c r="DX684" s="91"/>
      <c r="DY684" s="91"/>
    </row>
    <row r="685" spans="1:129" ht="15.75">
      <c r="A685" s="238"/>
      <c r="D685" s="192"/>
      <c r="E685" s="258"/>
      <c r="F685" s="193"/>
      <c r="G685" s="91"/>
      <c r="H685" s="91"/>
      <c r="I685" s="294"/>
      <c r="J685" s="193"/>
      <c r="K685" s="193"/>
      <c r="L685" s="193"/>
      <c r="M685" s="295"/>
      <c r="N685" s="91"/>
      <c r="O685" s="193"/>
      <c r="P685" s="356"/>
      <c r="Q685" s="91"/>
      <c r="R685" s="356"/>
      <c r="S685" s="357"/>
      <c r="T685" s="357"/>
      <c r="U685" s="357"/>
      <c r="V685" s="357"/>
      <c r="W685" s="357"/>
      <c r="X685" s="357"/>
      <c r="Y685" s="357"/>
      <c r="Z685" s="357"/>
      <c r="AA685" s="374"/>
      <c r="AB685" s="377"/>
      <c r="AC685" s="377"/>
      <c r="AD685" s="377"/>
      <c r="AE685" s="288"/>
      <c r="AF685" s="288"/>
      <c r="AG685" s="288"/>
      <c r="AH685" s="288"/>
      <c r="AI685" s="288"/>
      <c r="AJ685" s="288"/>
      <c r="AK685" s="374"/>
      <c r="AL685" s="91"/>
      <c r="AM685" s="376"/>
      <c r="AN685" s="376"/>
      <c r="AO685" s="286"/>
      <c r="AP685" s="286"/>
      <c r="AQ685" s="286"/>
      <c r="AR685" s="286"/>
      <c r="AS685" s="286"/>
      <c r="AT685" s="286"/>
      <c r="AU685" s="261"/>
      <c r="AV685" s="371"/>
      <c r="AW685" s="91"/>
      <c r="AX685" s="91"/>
      <c r="AY685" s="286"/>
      <c r="AZ685" s="286"/>
      <c r="BA685" s="286"/>
      <c r="BB685" s="286"/>
      <c r="BC685" s="286"/>
      <c r="BD685" s="286"/>
      <c r="BE685" s="261"/>
      <c r="BF685" s="261"/>
      <c r="BG685" s="261"/>
      <c r="BH685" s="261"/>
      <c r="BI685" s="261"/>
      <c r="BJ685" s="261"/>
      <c r="BK685" s="261"/>
      <c r="BL685" s="91"/>
      <c r="BM685" s="278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  <c r="BZ685" s="91"/>
      <c r="CA685" s="91"/>
      <c r="CB685" s="91"/>
      <c r="CC685" s="91"/>
      <c r="CD685" s="91"/>
      <c r="CE685" s="91"/>
      <c r="CF685" s="91"/>
      <c r="CG685" s="91"/>
      <c r="CH685" s="91"/>
      <c r="CI685" s="91"/>
      <c r="CJ685" s="91"/>
      <c r="CK685" s="91"/>
      <c r="CL685" s="91"/>
      <c r="CM685" s="91"/>
      <c r="CN685" s="91"/>
      <c r="CO685" s="91"/>
      <c r="CP685" s="91"/>
      <c r="CQ685" s="91"/>
      <c r="CR685" s="91"/>
      <c r="CS685" s="91"/>
      <c r="CT685" s="91"/>
      <c r="CU685" s="91"/>
      <c r="CV685" s="91"/>
      <c r="CW685" s="91"/>
      <c r="CX685" s="91"/>
      <c r="CY685" s="91"/>
      <c r="CZ685" s="91"/>
      <c r="DA685" s="91"/>
      <c r="DB685" s="91"/>
      <c r="DC685" s="91"/>
      <c r="DD685" s="91"/>
      <c r="DE685" s="91"/>
      <c r="DF685" s="91"/>
      <c r="DG685" s="91"/>
      <c r="DH685" s="91"/>
      <c r="DI685" s="91"/>
      <c r="DJ685" s="91"/>
      <c r="DK685" s="91"/>
      <c r="DL685" s="91"/>
      <c r="DM685" s="91"/>
      <c r="DN685" s="91"/>
      <c r="DO685" s="91"/>
      <c r="DP685" s="91"/>
      <c r="DQ685" s="91"/>
      <c r="DR685" s="91"/>
      <c r="DS685" s="91"/>
      <c r="DT685" s="91"/>
      <c r="DU685" s="91"/>
      <c r="DV685" s="91"/>
      <c r="DW685" s="91"/>
      <c r="DX685" s="91"/>
      <c r="DY685" s="91"/>
    </row>
    <row r="686" spans="1:129" ht="15.75">
      <c r="A686" s="238"/>
      <c r="D686" s="192"/>
      <c r="E686" s="258"/>
      <c r="F686" s="193"/>
      <c r="G686" s="91"/>
      <c r="H686" s="91"/>
      <c r="I686" s="294"/>
      <c r="J686" s="193"/>
      <c r="K686" s="193"/>
      <c r="L686" s="193"/>
      <c r="M686" s="295"/>
      <c r="N686" s="91"/>
      <c r="O686" s="193"/>
      <c r="P686" s="356"/>
      <c r="Q686" s="91"/>
      <c r="R686" s="356"/>
      <c r="S686" s="357"/>
      <c r="T686" s="357"/>
      <c r="U686" s="357"/>
      <c r="V686" s="357"/>
      <c r="W686" s="357"/>
      <c r="X686" s="357"/>
      <c r="Y686" s="357"/>
      <c r="Z686" s="357"/>
      <c r="AA686" s="374"/>
      <c r="AB686" s="377"/>
      <c r="AC686" s="377"/>
      <c r="AD686" s="377"/>
      <c r="AE686" s="288"/>
      <c r="AF686" s="288"/>
      <c r="AG686" s="288"/>
      <c r="AH686" s="288"/>
      <c r="AI686" s="288"/>
      <c r="AJ686" s="288"/>
      <c r="AK686" s="374"/>
      <c r="AL686" s="91"/>
      <c r="AM686" s="376"/>
      <c r="AN686" s="376"/>
      <c r="AO686" s="286"/>
      <c r="AP686" s="286"/>
      <c r="AQ686" s="286"/>
      <c r="AR686" s="286"/>
      <c r="AS686" s="286"/>
      <c r="AT686" s="286"/>
      <c r="AU686" s="261"/>
      <c r="AV686" s="371"/>
      <c r="AW686" s="91"/>
      <c r="AX686" s="91"/>
      <c r="AY686" s="286"/>
      <c r="AZ686" s="286"/>
      <c r="BA686" s="286"/>
      <c r="BB686" s="286"/>
      <c r="BC686" s="286"/>
      <c r="BD686" s="286"/>
      <c r="BE686" s="261"/>
      <c r="BF686" s="261"/>
      <c r="BG686" s="261"/>
      <c r="BH686" s="261"/>
      <c r="BI686" s="261"/>
      <c r="BJ686" s="261"/>
      <c r="BK686" s="261"/>
      <c r="BL686" s="91"/>
      <c r="BM686" s="278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  <c r="BZ686" s="91"/>
      <c r="CA686" s="91"/>
      <c r="CB686" s="91"/>
      <c r="CC686" s="91"/>
      <c r="CD686" s="91"/>
      <c r="CE686" s="91"/>
      <c r="CF686" s="91"/>
      <c r="CG686" s="91"/>
      <c r="CH686" s="91"/>
      <c r="CI686" s="91"/>
      <c r="CJ686" s="91"/>
      <c r="CK686" s="91"/>
      <c r="CL686" s="91"/>
      <c r="CM686" s="91"/>
      <c r="CN686" s="91"/>
      <c r="CO686" s="91"/>
      <c r="CP686" s="91"/>
      <c r="CQ686" s="91"/>
      <c r="CR686" s="91"/>
      <c r="CS686" s="91"/>
      <c r="CT686" s="91"/>
      <c r="CU686" s="91"/>
      <c r="CV686" s="91"/>
      <c r="CW686" s="91"/>
      <c r="CX686" s="91"/>
      <c r="CY686" s="91"/>
      <c r="CZ686" s="91"/>
      <c r="DA686" s="91"/>
      <c r="DB686" s="91"/>
      <c r="DC686" s="91"/>
      <c r="DD686" s="91"/>
      <c r="DE686" s="91"/>
      <c r="DF686" s="91"/>
      <c r="DG686" s="91"/>
      <c r="DH686" s="91"/>
      <c r="DI686" s="91"/>
      <c r="DJ686" s="91"/>
      <c r="DK686" s="91"/>
      <c r="DL686" s="91"/>
      <c r="DM686" s="91"/>
      <c r="DN686" s="91"/>
      <c r="DO686" s="91"/>
      <c r="DP686" s="91"/>
      <c r="DQ686" s="91"/>
      <c r="DR686" s="91"/>
      <c r="DS686" s="91"/>
      <c r="DT686" s="91"/>
      <c r="DU686" s="91"/>
      <c r="DV686" s="91"/>
      <c r="DW686" s="91"/>
      <c r="DX686" s="91"/>
      <c r="DY686" s="91"/>
    </row>
    <row r="687" spans="1:129" ht="15.75">
      <c r="A687" s="238"/>
      <c r="D687" s="192"/>
      <c r="E687" s="258"/>
      <c r="F687" s="193"/>
      <c r="G687" s="91"/>
      <c r="H687" s="91"/>
      <c r="I687" s="294"/>
      <c r="J687" s="193"/>
      <c r="K687" s="193"/>
      <c r="L687" s="193"/>
      <c r="M687" s="295"/>
      <c r="N687" s="91"/>
      <c r="O687" s="193"/>
      <c r="P687" s="356"/>
      <c r="Q687" s="91"/>
      <c r="R687" s="356"/>
      <c r="S687" s="357"/>
      <c r="T687" s="357"/>
      <c r="U687" s="357"/>
      <c r="V687" s="357"/>
      <c r="W687" s="357"/>
      <c r="X687" s="357"/>
      <c r="Y687" s="357"/>
      <c r="Z687" s="357"/>
      <c r="AA687" s="374"/>
      <c r="AB687" s="377"/>
      <c r="AC687" s="377"/>
      <c r="AD687" s="377"/>
      <c r="AE687" s="288"/>
      <c r="AF687" s="288"/>
      <c r="AG687" s="288"/>
      <c r="AH687" s="288"/>
      <c r="AI687" s="288"/>
      <c r="AJ687" s="288"/>
      <c r="AK687" s="374"/>
      <c r="AL687" s="91"/>
      <c r="AM687" s="376"/>
      <c r="AN687" s="376"/>
      <c r="AO687" s="286"/>
      <c r="AP687" s="286"/>
      <c r="AQ687" s="286"/>
      <c r="AR687" s="286"/>
      <c r="AS687" s="286"/>
      <c r="AT687" s="286"/>
      <c r="AU687" s="261"/>
      <c r="AV687" s="371"/>
      <c r="AW687" s="91"/>
      <c r="AX687" s="91"/>
      <c r="AY687" s="286"/>
      <c r="AZ687" s="286"/>
      <c r="BA687" s="286"/>
      <c r="BB687" s="286"/>
      <c r="BC687" s="286"/>
      <c r="BD687" s="286"/>
      <c r="BE687" s="261"/>
      <c r="BF687" s="261"/>
      <c r="BG687" s="261"/>
      <c r="BH687" s="261"/>
      <c r="BI687" s="261"/>
      <c r="BJ687" s="261"/>
      <c r="BK687" s="261"/>
      <c r="BL687" s="91"/>
      <c r="BM687" s="278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  <c r="BZ687" s="91"/>
      <c r="CA687" s="91"/>
      <c r="CB687" s="91"/>
      <c r="CC687" s="91"/>
      <c r="CD687" s="91"/>
      <c r="CE687" s="91"/>
      <c r="CF687" s="91"/>
      <c r="CG687" s="91"/>
      <c r="CH687" s="91"/>
      <c r="CI687" s="91"/>
      <c r="CJ687" s="91"/>
      <c r="CK687" s="91"/>
      <c r="CL687" s="91"/>
      <c r="CM687" s="91"/>
      <c r="CN687" s="91"/>
      <c r="CO687" s="91"/>
      <c r="CP687" s="91"/>
      <c r="CQ687" s="91"/>
      <c r="CR687" s="91"/>
      <c r="CS687" s="91"/>
      <c r="CT687" s="91"/>
      <c r="CU687" s="91"/>
      <c r="CV687" s="91"/>
      <c r="CW687" s="91"/>
      <c r="CX687" s="91"/>
      <c r="CY687" s="91"/>
      <c r="CZ687" s="91"/>
      <c r="DA687" s="91"/>
      <c r="DB687" s="91"/>
      <c r="DC687" s="91"/>
      <c r="DD687" s="91"/>
      <c r="DE687" s="91"/>
      <c r="DF687" s="91"/>
      <c r="DG687" s="91"/>
      <c r="DH687" s="91"/>
      <c r="DI687" s="91"/>
      <c r="DJ687" s="91"/>
      <c r="DK687" s="91"/>
      <c r="DL687" s="91"/>
      <c r="DM687" s="91"/>
      <c r="DN687" s="91"/>
      <c r="DO687" s="91"/>
      <c r="DP687" s="91"/>
      <c r="DQ687" s="91"/>
      <c r="DR687" s="91"/>
      <c r="DS687" s="91"/>
      <c r="DT687" s="91"/>
      <c r="DU687" s="91"/>
      <c r="DV687" s="91"/>
      <c r="DW687" s="91"/>
      <c r="DX687" s="91"/>
      <c r="DY687" s="91"/>
    </row>
    <row r="688" spans="1:129" ht="15.75">
      <c r="A688" s="238"/>
      <c r="D688" s="192"/>
      <c r="E688" s="258"/>
      <c r="F688" s="193"/>
      <c r="G688" s="91"/>
      <c r="H688" s="91"/>
      <c r="I688" s="294"/>
      <c r="J688" s="193"/>
      <c r="K688" s="193"/>
      <c r="L688" s="193"/>
      <c r="M688" s="295"/>
      <c r="N688" s="91"/>
      <c r="O688" s="193"/>
      <c r="P688" s="356"/>
      <c r="Q688" s="91"/>
      <c r="R688" s="356"/>
      <c r="S688" s="357"/>
      <c r="T688" s="357"/>
      <c r="U688" s="357"/>
      <c r="V688" s="357"/>
      <c r="W688" s="357"/>
      <c r="X688" s="357"/>
      <c r="Y688" s="357"/>
      <c r="Z688" s="357"/>
      <c r="AA688" s="374"/>
      <c r="AB688" s="377"/>
      <c r="AC688" s="377"/>
      <c r="AD688" s="377"/>
      <c r="AE688" s="288"/>
      <c r="AF688" s="288"/>
      <c r="AG688" s="288"/>
      <c r="AH688" s="288"/>
      <c r="AI688" s="288"/>
      <c r="AJ688" s="288"/>
      <c r="AK688" s="374"/>
      <c r="AL688" s="91"/>
      <c r="AM688" s="376"/>
      <c r="AN688" s="376"/>
      <c r="AO688" s="286"/>
      <c r="AP688" s="286"/>
      <c r="AQ688" s="286"/>
      <c r="AR688" s="286"/>
      <c r="AS688" s="286"/>
      <c r="AT688" s="286"/>
      <c r="AU688" s="261"/>
      <c r="AV688" s="371"/>
      <c r="AW688" s="91"/>
      <c r="AX688" s="91"/>
      <c r="AY688" s="286"/>
      <c r="AZ688" s="286"/>
      <c r="BA688" s="286"/>
      <c r="BB688" s="286"/>
      <c r="BC688" s="286"/>
      <c r="BD688" s="286"/>
      <c r="BE688" s="261"/>
      <c r="BF688" s="261"/>
      <c r="BG688" s="261"/>
      <c r="BH688" s="261"/>
      <c r="BI688" s="261"/>
      <c r="BJ688" s="261"/>
      <c r="BK688" s="261"/>
      <c r="BL688" s="91"/>
      <c r="BM688" s="278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  <c r="BZ688" s="91"/>
      <c r="CA688" s="91"/>
      <c r="CB688" s="91"/>
      <c r="CC688" s="91"/>
      <c r="CD688" s="91"/>
      <c r="CE688" s="91"/>
      <c r="CF688" s="91"/>
      <c r="CG688" s="91"/>
      <c r="CH688" s="91"/>
      <c r="CI688" s="91"/>
      <c r="CJ688" s="91"/>
      <c r="CK688" s="91"/>
      <c r="CL688" s="91"/>
      <c r="CM688" s="91"/>
      <c r="CN688" s="91"/>
      <c r="CO688" s="91"/>
      <c r="CP688" s="91"/>
      <c r="CQ688" s="91"/>
      <c r="CR688" s="91"/>
      <c r="CS688" s="91"/>
      <c r="CT688" s="91"/>
      <c r="CU688" s="91"/>
      <c r="CV688" s="91"/>
      <c r="CW688" s="91"/>
      <c r="CX688" s="91"/>
      <c r="CY688" s="91"/>
      <c r="CZ688" s="91"/>
      <c r="DA688" s="91"/>
      <c r="DB688" s="91"/>
      <c r="DC688" s="91"/>
      <c r="DD688" s="91"/>
      <c r="DE688" s="91"/>
      <c r="DF688" s="91"/>
      <c r="DG688" s="91"/>
      <c r="DH688" s="91"/>
      <c r="DI688" s="91"/>
      <c r="DJ688" s="91"/>
      <c r="DK688" s="91"/>
      <c r="DL688" s="91"/>
      <c r="DM688" s="91"/>
      <c r="DN688" s="91"/>
      <c r="DO688" s="91"/>
      <c r="DP688" s="91"/>
      <c r="DQ688" s="91"/>
      <c r="DR688" s="91"/>
      <c r="DS688" s="91"/>
      <c r="DT688" s="91"/>
      <c r="DU688" s="91"/>
      <c r="DV688" s="91"/>
      <c r="DW688" s="91"/>
      <c r="DX688" s="91"/>
      <c r="DY688" s="91"/>
    </row>
    <row r="689" spans="1:129" ht="15.75">
      <c r="A689" s="238"/>
      <c r="D689" s="192"/>
      <c r="E689" s="258"/>
      <c r="F689" s="193"/>
      <c r="G689" s="91"/>
      <c r="H689" s="91"/>
      <c r="I689" s="294"/>
      <c r="J689" s="193"/>
      <c r="K689" s="193"/>
      <c r="L689" s="193"/>
      <c r="M689" s="295"/>
      <c r="N689" s="91"/>
      <c r="O689" s="193"/>
      <c r="P689" s="356"/>
      <c r="Q689" s="91"/>
      <c r="R689" s="356"/>
      <c r="S689" s="357"/>
      <c r="T689" s="357"/>
      <c r="U689" s="357"/>
      <c r="V689" s="357"/>
      <c r="W689" s="357"/>
      <c r="X689" s="357"/>
      <c r="Y689" s="357"/>
      <c r="Z689" s="357"/>
      <c r="AA689" s="374"/>
      <c r="AB689" s="377"/>
      <c r="AC689" s="377"/>
      <c r="AD689" s="377"/>
      <c r="AE689" s="288"/>
      <c r="AF689" s="288"/>
      <c r="AG689" s="288"/>
      <c r="AH689" s="288"/>
      <c r="AI689" s="288"/>
      <c r="AJ689" s="288"/>
      <c r="AK689" s="374"/>
      <c r="AL689" s="91"/>
      <c r="AM689" s="376"/>
      <c r="AN689" s="376"/>
      <c r="AO689" s="286"/>
      <c r="AP689" s="286"/>
      <c r="AQ689" s="286"/>
      <c r="AR689" s="286"/>
      <c r="AS689" s="286"/>
      <c r="AT689" s="286"/>
      <c r="AU689" s="261"/>
      <c r="AV689" s="371"/>
      <c r="AW689" s="91"/>
      <c r="AX689" s="91"/>
      <c r="AY689" s="286"/>
      <c r="AZ689" s="286"/>
      <c r="BA689" s="286"/>
      <c r="BB689" s="286"/>
      <c r="BC689" s="286"/>
      <c r="BD689" s="286"/>
      <c r="BE689" s="261"/>
      <c r="BF689" s="261"/>
      <c r="BG689" s="261"/>
      <c r="BH689" s="261"/>
      <c r="BI689" s="261"/>
      <c r="BJ689" s="261"/>
      <c r="BK689" s="261"/>
      <c r="BL689" s="91"/>
      <c r="BM689" s="278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  <c r="BZ689" s="91"/>
      <c r="CA689" s="91"/>
      <c r="CB689" s="91"/>
      <c r="CC689" s="91"/>
      <c r="CD689" s="91"/>
      <c r="CE689" s="91"/>
      <c r="CF689" s="91"/>
      <c r="CG689" s="91"/>
      <c r="CH689" s="91"/>
      <c r="CI689" s="91"/>
      <c r="CJ689" s="91"/>
      <c r="CK689" s="91"/>
      <c r="CL689" s="91"/>
      <c r="CM689" s="91"/>
      <c r="CN689" s="91"/>
      <c r="CO689" s="91"/>
      <c r="CP689" s="91"/>
      <c r="CQ689" s="91"/>
      <c r="CR689" s="91"/>
      <c r="CS689" s="91"/>
      <c r="CT689" s="91"/>
      <c r="CU689" s="91"/>
      <c r="CV689" s="91"/>
      <c r="CW689" s="91"/>
      <c r="CX689" s="91"/>
      <c r="CY689" s="91"/>
      <c r="CZ689" s="91"/>
      <c r="DA689" s="91"/>
      <c r="DB689" s="91"/>
      <c r="DC689" s="91"/>
      <c r="DD689" s="91"/>
      <c r="DE689" s="91"/>
      <c r="DF689" s="91"/>
      <c r="DG689" s="91"/>
      <c r="DH689" s="91"/>
      <c r="DI689" s="91"/>
      <c r="DJ689" s="91"/>
      <c r="DK689" s="91"/>
      <c r="DL689" s="91"/>
      <c r="DM689" s="91"/>
      <c r="DN689" s="91"/>
      <c r="DO689" s="91"/>
      <c r="DP689" s="91"/>
      <c r="DQ689" s="91"/>
      <c r="DR689" s="91"/>
      <c r="DS689" s="91"/>
      <c r="DT689" s="91"/>
      <c r="DU689" s="91"/>
      <c r="DV689" s="91"/>
      <c r="DW689" s="91"/>
      <c r="DX689" s="91"/>
      <c r="DY689" s="91"/>
    </row>
    <row r="690" spans="1:129" ht="15.75">
      <c r="A690" s="238"/>
      <c r="D690" s="192"/>
      <c r="E690" s="258"/>
      <c r="F690" s="193"/>
      <c r="G690" s="91"/>
      <c r="H690" s="91"/>
      <c r="I690" s="294"/>
      <c r="J690" s="193"/>
      <c r="K690" s="193"/>
      <c r="L690" s="193"/>
      <c r="M690" s="295"/>
      <c r="N690" s="91"/>
      <c r="O690" s="193"/>
      <c r="P690" s="356"/>
      <c r="Q690" s="91"/>
      <c r="R690" s="356"/>
      <c r="S690" s="357"/>
      <c r="T690" s="357"/>
      <c r="U690" s="357"/>
      <c r="V690" s="357"/>
      <c r="W690" s="357"/>
      <c r="X690" s="357"/>
      <c r="Y690" s="357"/>
      <c r="Z690" s="357"/>
      <c r="AA690" s="374"/>
      <c r="AB690" s="377"/>
      <c r="AC690" s="377"/>
      <c r="AD690" s="377"/>
      <c r="AE690" s="288"/>
      <c r="AF690" s="288"/>
      <c r="AG690" s="288"/>
      <c r="AH690" s="288"/>
      <c r="AI690" s="288"/>
      <c r="AJ690" s="288"/>
      <c r="AK690" s="374"/>
      <c r="AL690" s="91"/>
      <c r="AM690" s="376"/>
      <c r="AN690" s="376"/>
      <c r="AO690" s="286"/>
      <c r="AP690" s="286"/>
      <c r="AQ690" s="286"/>
      <c r="AR690" s="286"/>
      <c r="AS690" s="286"/>
      <c r="AT690" s="286"/>
      <c r="AU690" s="261"/>
      <c r="AV690" s="371"/>
      <c r="AW690" s="91"/>
      <c r="AX690" s="91"/>
      <c r="AY690" s="286"/>
      <c r="AZ690" s="286"/>
      <c r="BA690" s="286"/>
      <c r="BB690" s="286"/>
      <c r="BC690" s="286"/>
      <c r="BD690" s="286"/>
      <c r="BE690" s="261"/>
      <c r="BF690" s="261"/>
      <c r="BG690" s="261"/>
      <c r="BH690" s="261"/>
      <c r="BI690" s="261"/>
      <c r="BJ690" s="261"/>
      <c r="BK690" s="261"/>
      <c r="BL690" s="91"/>
      <c r="BM690" s="278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  <c r="BZ690" s="91"/>
      <c r="CA690" s="91"/>
      <c r="CB690" s="91"/>
      <c r="CC690" s="91"/>
      <c r="CD690" s="91"/>
      <c r="CE690" s="91"/>
      <c r="CF690" s="91"/>
      <c r="CG690" s="91"/>
      <c r="CH690" s="91"/>
      <c r="CI690" s="91"/>
      <c r="CJ690" s="91"/>
      <c r="CK690" s="91"/>
      <c r="CL690" s="91"/>
      <c r="CM690" s="91"/>
      <c r="CN690" s="91"/>
      <c r="CO690" s="91"/>
      <c r="CP690" s="91"/>
      <c r="CQ690" s="91"/>
      <c r="CR690" s="91"/>
      <c r="CS690" s="91"/>
      <c r="CT690" s="91"/>
      <c r="CU690" s="91"/>
      <c r="CV690" s="91"/>
      <c r="CW690" s="91"/>
      <c r="CX690" s="91"/>
      <c r="CY690" s="91"/>
      <c r="CZ690" s="91"/>
      <c r="DA690" s="91"/>
      <c r="DB690" s="91"/>
      <c r="DC690" s="91"/>
      <c r="DD690" s="91"/>
      <c r="DE690" s="91"/>
      <c r="DF690" s="91"/>
      <c r="DG690" s="91"/>
      <c r="DH690" s="91"/>
      <c r="DI690" s="91"/>
      <c r="DJ690" s="91"/>
      <c r="DK690" s="91"/>
      <c r="DL690" s="91"/>
      <c r="DM690" s="91"/>
      <c r="DN690" s="91"/>
      <c r="DO690" s="91"/>
      <c r="DP690" s="91"/>
      <c r="DQ690" s="91"/>
      <c r="DR690" s="91"/>
      <c r="DS690" s="91"/>
      <c r="DT690" s="91"/>
      <c r="DU690" s="91"/>
      <c r="DV690" s="91"/>
      <c r="DW690" s="91"/>
      <c r="DX690" s="91"/>
      <c r="DY690" s="91"/>
    </row>
    <row r="691" spans="1:129" ht="15.75">
      <c r="A691" s="238"/>
      <c r="D691" s="192"/>
      <c r="E691" s="258"/>
      <c r="F691" s="193"/>
      <c r="G691" s="91"/>
      <c r="H691" s="91"/>
      <c r="I691" s="294"/>
      <c r="J691" s="193"/>
      <c r="K691" s="193"/>
      <c r="L691" s="193"/>
      <c r="M691" s="295"/>
      <c r="N691" s="91"/>
      <c r="O691" s="193"/>
      <c r="P691" s="356"/>
      <c r="Q691" s="91"/>
      <c r="R691" s="356"/>
      <c r="S691" s="357"/>
      <c r="T691" s="357"/>
      <c r="U691" s="357"/>
      <c r="V691" s="357"/>
      <c r="W691" s="357"/>
      <c r="X691" s="357"/>
      <c r="Y691" s="357"/>
      <c r="Z691" s="357"/>
      <c r="AA691" s="374"/>
      <c r="AB691" s="377"/>
      <c r="AC691" s="377"/>
      <c r="AD691" s="377"/>
      <c r="AE691" s="288"/>
      <c r="AF691" s="288"/>
      <c r="AG691" s="288"/>
      <c r="AH691" s="288"/>
      <c r="AI691" s="288"/>
      <c r="AJ691" s="288"/>
      <c r="AK691" s="374"/>
      <c r="AL691" s="91"/>
      <c r="AM691" s="376"/>
      <c r="AN691" s="376"/>
      <c r="AO691" s="286"/>
      <c r="AP691" s="286"/>
      <c r="AQ691" s="286"/>
      <c r="AR691" s="286"/>
      <c r="AS691" s="286"/>
      <c r="AT691" s="286"/>
      <c r="AU691" s="261"/>
      <c r="AV691" s="371"/>
      <c r="AW691" s="91"/>
      <c r="AX691" s="91"/>
      <c r="AY691" s="286"/>
      <c r="AZ691" s="286"/>
      <c r="BA691" s="286"/>
      <c r="BB691" s="286"/>
      <c r="BC691" s="286"/>
      <c r="BD691" s="286"/>
      <c r="BE691" s="261"/>
      <c r="BF691" s="261"/>
      <c r="BG691" s="261"/>
      <c r="BH691" s="261"/>
      <c r="BI691" s="261"/>
      <c r="BJ691" s="261"/>
      <c r="BK691" s="261"/>
      <c r="BL691" s="91"/>
      <c r="BM691" s="278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  <c r="BZ691" s="91"/>
      <c r="CA691" s="91"/>
      <c r="CB691" s="91"/>
      <c r="CC691" s="91"/>
      <c r="CD691" s="91"/>
      <c r="CE691" s="91"/>
      <c r="CF691" s="91"/>
      <c r="CG691" s="91"/>
      <c r="CH691" s="91"/>
      <c r="CI691" s="91"/>
      <c r="CJ691" s="91"/>
      <c r="CK691" s="91"/>
      <c r="CL691" s="91"/>
      <c r="CM691" s="91"/>
      <c r="CN691" s="91"/>
      <c r="CO691" s="91"/>
      <c r="CP691" s="91"/>
      <c r="CQ691" s="91"/>
      <c r="CR691" s="91"/>
      <c r="CS691" s="91"/>
      <c r="CT691" s="91"/>
      <c r="CU691" s="91"/>
      <c r="CV691" s="91"/>
      <c r="CW691" s="91"/>
      <c r="CX691" s="91"/>
      <c r="CY691" s="91"/>
      <c r="CZ691" s="91"/>
      <c r="DA691" s="91"/>
      <c r="DB691" s="91"/>
      <c r="DC691" s="91"/>
      <c r="DD691" s="91"/>
      <c r="DE691" s="91"/>
      <c r="DF691" s="91"/>
      <c r="DG691" s="91"/>
      <c r="DH691" s="91"/>
      <c r="DI691" s="91"/>
      <c r="DJ691" s="91"/>
      <c r="DK691" s="91"/>
      <c r="DL691" s="91"/>
      <c r="DM691" s="91"/>
      <c r="DN691" s="91"/>
      <c r="DO691" s="91"/>
      <c r="DP691" s="91"/>
      <c r="DQ691" s="91"/>
      <c r="DR691" s="91"/>
      <c r="DS691" s="91"/>
      <c r="DT691" s="91"/>
      <c r="DU691" s="91"/>
      <c r="DV691" s="91"/>
      <c r="DW691" s="91"/>
      <c r="DX691" s="91"/>
      <c r="DY691" s="91"/>
    </row>
    <row r="692" spans="1:129" ht="15.75">
      <c r="A692" s="238"/>
      <c r="D692" s="192"/>
      <c r="E692" s="258"/>
      <c r="F692" s="193"/>
      <c r="G692" s="91"/>
      <c r="H692" s="91"/>
      <c r="I692" s="294"/>
      <c r="J692" s="193"/>
      <c r="K692" s="193"/>
      <c r="L692" s="193"/>
      <c r="M692" s="295"/>
      <c r="N692" s="91"/>
      <c r="O692" s="193"/>
      <c r="P692" s="356"/>
      <c r="Q692" s="91"/>
      <c r="R692" s="356"/>
      <c r="S692" s="357"/>
      <c r="T692" s="357"/>
      <c r="U692" s="357"/>
      <c r="V692" s="357"/>
      <c r="W692" s="357"/>
      <c r="X692" s="357"/>
      <c r="Y692" s="357"/>
      <c r="Z692" s="357"/>
      <c r="AA692" s="374"/>
      <c r="AB692" s="377"/>
      <c r="AC692" s="377"/>
      <c r="AD692" s="377"/>
      <c r="AE692" s="288"/>
      <c r="AF692" s="288"/>
      <c r="AG692" s="288"/>
      <c r="AH692" s="288"/>
      <c r="AI692" s="288"/>
      <c r="AJ692" s="288"/>
      <c r="AK692" s="374"/>
      <c r="AL692" s="91"/>
      <c r="AM692" s="376"/>
      <c r="AN692" s="376"/>
      <c r="AO692" s="286"/>
      <c r="AP692" s="286"/>
      <c r="AQ692" s="286"/>
      <c r="AR692" s="286"/>
      <c r="AS692" s="286"/>
      <c r="AT692" s="286"/>
      <c r="AU692" s="261"/>
      <c r="AV692" s="371"/>
      <c r="AW692" s="91"/>
      <c r="AX692" s="91"/>
      <c r="AY692" s="286"/>
      <c r="AZ692" s="286"/>
      <c r="BA692" s="286"/>
      <c r="BB692" s="286"/>
      <c r="BC692" s="286"/>
      <c r="BD692" s="286"/>
      <c r="BE692" s="261"/>
      <c r="BF692" s="261"/>
      <c r="BG692" s="261"/>
      <c r="BH692" s="261"/>
      <c r="BI692" s="261"/>
      <c r="BJ692" s="261"/>
      <c r="BK692" s="261"/>
      <c r="BL692" s="91"/>
      <c r="BM692" s="278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  <c r="BZ692" s="91"/>
      <c r="CA692" s="91"/>
      <c r="CB692" s="91"/>
      <c r="CC692" s="91"/>
      <c r="CD692" s="91"/>
      <c r="CE692" s="91"/>
      <c r="CF692" s="91"/>
      <c r="CG692" s="91"/>
      <c r="CH692" s="91"/>
      <c r="CI692" s="91"/>
      <c r="CJ692" s="91"/>
      <c r="CK692" s="91"/>
      <c r="CL692" s="91"/>
      <c r="CM692" s="91"/>
      <c r="CN692" s="91"/>
      <c r="CO692" s="91"/>
      <c r="CP692" s="91"/>
      <c r="CQ692" s="91"/>
      <c r="CR692" s="91"/>
      <c r="CS692" s="91"/>
      <c r="CT692" s="91"/>
      <c r="CU692" s="91"/>
      <c r="CV692" s="91"/>
      <c r="CW692" s="91"/>
      <c r="CX692" s="91"/>
      <c r="CY692" s="91"/>
      <c r="CZ692" s="91"/>
      <c r="DA692" s="91"/>
      <c r="DB692" s="91"/>
      <c r="DC692" s="91"/>
      <c r="DD692" s="91"/>
      <c r="DE692" s="91"/>
      <c r="DF692" s="91"/>
      <c r="DG692" s="91"/>
      <c r="DH692" s="91"/>
      <c r="DI692" s="91"/>
      <c r="DJ692" s="91"/>
      <c r="DK692" s="91"/>
      <c r="DL692" s="91"/>
      <c r="DM692" s="91"/>
      <c r="DN692" s="91"/>
      <c r="DO692" s="91"/>
      <c r="DP692" s="91"/>
      <c r="DQ692" s="91"/>
      <c r="DR692" s="91"/>
      <c r="DS692" s="91"/>
      <c r="DT692" s="91"/>
      <c r="DU692" s="91"/>
      <c r="DV692" s="91"/>
      <c r="DW692" s="91"/>
      <c r="DX692" s="91"/>
      <c r="DY692" s="91"/>
    </row>
    <row r="693" spans="1:129" ht="15.75">
      <c r="A693" s="238"/>
      <c r="D693" s="192"/>
      <c r="E693" s="258"/>
      <c r="F693" s="193"/>
      <c r="G693" s="91"/>
      <c r="H693" s="91"/>
      <c r="I693" s="294"/>
      <c r="J693" s="193"/>
      <c r="K693" s="193"/>
      <c r="L693" s="193"/>
      <c r="M693" s="295"/>
      <c r="N693" s="91"/>
      <c r="O693" s="193"/>
      <c r="P693" s="356"/>
      <c r="Q693" s="91"/>
      <c r="R693" s="356"/>
      <c r="S693" s="357"/>
      <c r="T693" s="357"/>
      <c r="U693" s="357"/>
      <c r="V693" s="357"/>
      <c r="W693" s="357"/>
      <c r="X693" s="357"/>
      <c r="Y693" s="357"/>
      <c r="Z693" s="357"/>
      <c r="AA693" s="374"/>
      <c r="AB693" s="377"/>
      <c r="AC693" s="377"/>
      <c r="AD693" s="377"/>
      <c r="AE693" s="288"/>
      <c r="AF693" s="288"/>
      <c r="AG693" s="288"/>
      <c r="AH693" s="288"/>
      <c r="AI693" s="288"/>
      <c r="AJ693" s="288"/>
      <c r="AK693" s="374"/>
      <c r="AL693" s="91"/>
      <c r="AM693" s="376"/>
      <c r="AN693" s="376"/>
      <c r="AO693" s="286"/>
      <c r="AP693" s="286"/>
      <c r="AQ693" s="286"/>
      <c r="AR693" s="286"/>
      <c r="AS693" s="286"/>
      <c r="AT693" s="286"/>
      <c r="AU693" s="261"/>
      <c r="AV693" s="371"/>
      <c r="AW693" s="91"/>
      <c r="AX693" s="91"/>
      <c r="AY693" s="286"/>
      <c r="AZ693" s="286"/>
      <c r="BA693" s="286"/>
      <c r="BB693" s="286"/>
      <c r="BC693" s="286"/>
      <c r="BD693" s="286"/>
      <c r="BE693" s="261"/>
      <c r="BF693" s="261"/>
      <c r="BG693" s="261"/>
      <c r="BH693" s="261"/>
      <c r="BI693" s="261"/>
      <c r="BJ693" s="261"/>
      <c r="BK693" s="261"/>
      <c r="BL693" s="91"/>
      <c r="BM693" s="278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  <c r="BZ693" s="91"/>
      <c r="CA693" s="91"/>
      <c r="CB693" s="91"/>
      <c r="CC693" s="91"/>
      <c r="CD693" s="91"/>
      <c r="CE693" s="91"/>
      <c r="CF693" s="91"/>
      <c r="CG693" s="91"/>
      <c r="CH693" s="91"/>
      <c r="CI693" s="91"/>
      <c r="CJ693" s="91"/>
      <c r="CK693" s="91"/>
      <c r="CL693" s="91"/>
      <c r="CM693" s="91"/>
      <c r="CN693" s="91"/>
      <c r="CO693" s="91"/>
      <c r="CP693" s="91"/>
      <c r="CQ693" s="91"/>
      <c r="CR693" s="91"/>
      <c r="CS693" s="91"/>
      <c r="CT693" s="91"/>
      <c r="CU693" s="91"/>
      <c r="CV693" s="91"/>
      <c r="CW693" s="91"/>
      <c r="CX693" s="91"/>
      <c r="CY693" s="91"/>
      <c r="CZ693" s="91"/>
      <c r="DA693" s="91"/>
      <c r="DB693" s="91"/>
      <c r="DC693" s="91"/>
      <c r="DD693" s="91"/>
      <c r="DE693" s="91"/>
      <c r="DF693" s="91"/>
      <c r="DG693" s="91"/>
      <c r="DH693" s="91"/>
      <c r="DI693" s="91"/>
      <c r="DJ693" s="91"/>
      <c r="DK693" s="91"/>
      <c r="DL693" s="91"/>
      <c r="DM693" s="91"/>
      <c r="DN693" s="91"/>
      <c r="DO693" s="91"/>
      <c r="DP693" s="91"/>
      <c r="DQ693" s="91"/>
      <c r="DR693" s="91"/>
      <c r="DS693" s="91"/>
      <c r="DT693" s="91"/>
      <c r="DU693" s="91"/>
      <c r="DV693" s="91"/>
      <c r="DW693" s="91"/>
      <c r="DX693" s="91"/>
      <c r="DY693" s="91"/>
    </row>
    <row r="694" spans="1:129" ht="15.75">
      <c r="A694" s="238"/>
      <c r="D694" s="192"/>
      <c r="E694" s="258"/>
      <c r="F694" s="193"/>
      <c r="G694" s="91"/>
      <c r="H694" s="91"/>
      <c r="I694" s="294"/>
      <c r="J694" s="193"/>
      <c r="K694" s="193"/>
      <c r="L694" s="193"/>
      <c r="M694" s="295"/>
      <c r="N694" s="91"/>
      <c r="O694" s="193"/>
      <c r="P694" s="356"/>
      <c r="Q694" s="91"/>
      <c r="R694" s="356"/>
      <c r="S694" s="357"/>
      <c r="T694" s="357"/>
      <c r="U694" s="357"/>
      <c r="V694" s="357"/>
      <c r="W694" s="357"/>
      <c r="X694" s="357"/>
      <c r="Y694" s="357"/>
      <c r="Z694" s="357"/>
      <c r="AA694" s="374"/>
      <c r="AB694" s="377"/>
      <c r="AC694" s="377"/>
      <c r="AD694" s="377"/>
      <c r="AE694" s="288"/>
      <c r="AF694" s="288"/>
      <c r="AG694" s="288"/>
      <c r="AH694" s="288"/>
      <c r="AI694" s="288"/>
      <c r="AJ694" s="288"/>
      <c r="AK694" s="374"/>
      <c r="AL694" s="91"/>
      <c r="AM694" s="376"/>
      <c r="AN694" s="376"/>
      <c r="AO694" s="286"/>
      <c r="AP694" s="286"/>
      <c r="AQ694" s="286"/>
      <c r="AR694" s="286"/>
      <c r="AS694" s="286"/>
      <c r="AT694" s="286"/>
      <c r="AU694" s="261"/>
      <c r="AV694" s="371"/>
      <c r="AW694" s="91"/>
      <c r="AX694" s="91"/>
      <c r="AY694" s="286"/>
      <c r="AZ694" s="286"/>
      <c r="BA694" s="286"/>
      <c r="BB694" s="286"/>
      <c r="BC694" s="286"/>
      <c r="BD694" s="286"/>
      <c r="BE694" s="261"/>
      <c r="BF694" s="261"/>
      <c r="BG694" s="261"/>
      <c r="BH694" s="261"/>
      <c r="BI694" s="261"/>
      <c r="BJ694" s="261"/>
      <c r="BK694" s="261"/>
      <c r="BL694" s="91"/>
      <c r="BM694" s="278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  <c r="BZ694" s="91"/>
      <c r="CA694" s="91"/>
      <c r="CB694" s="91"/>
      <c r="CC694" s="91"/>
      <c r="CD694" s="91"/>
      <c r="CE694" s="91"/>
      <c r="CF694" s="91"/>
      <c r="CG694" s="91"/>
      <c r="CH694" s="91"/>
      <c r="CI694" s="91"/>
      <c r="CJ694" s="91"/>
      <c r="CK694" s="91"/>
      <c r="CL694" s="91"/>
      <c r="CM694" s="91"/>
      <c r="CN694" s="91"/>
      <c r="CO694" s="91"/>
      <c r="CP694" s="91"/>
      <c r="CQ694" s="91"/>
      <c r="CR694" s="91"/>
      <c r="CS694" s="91"/>
      <c r="CT694" s="91"/>
      <c r="CU694" s="91"/>
      <c r="CV694" s="91"/>
      <c r="CW694" s="91"/>
      <c r="CX694" s="91"/>
      <c r="CY694" s="91"/>
      <c r="CZ694" s="91"/>
      <c r="DA694" s="91"/>
      <c r="DB694" s="91"/>
      <c r="DC694" s="91"/>
      <c r="DD694" s="91"/>
      <c r="DE694" s="91"/>
      <c r="DF694" s="91"/>
      <c r="DG694" s="91"/>
      <c r="DH694" s="91"/>
      <c r="DI694" s="91"/>
      <c r="DJ694" s="91"/>
      <c r="DK694" s="91"/>
      <c r="DL694" s="91"/>
      <c r="DM694" s="91"/>
      <c r="DN694" s="91"/>
      <c r="DO694" s="91"/>
      <c r="DP694" s="91"/>
      <c r="DQ694" s="91"/>
      <c r="DR694" s="91"/>
      <c r="DS694" s="91"/>
      <c r="DT694" s="91"/>
      <c r="DU694" s="91"/>
      <c r="DV694" s="91"/>
      <c r="DW694" s="91"/>
      <c r="DX694" s="91"/>
      <c r="DY694" s="91"/>
    </row>
    <row r="695" spans="1:129" ht="15.75">
      <c r="A695" s="238"/>
      <c r="D695" s="192"/>
      <c r="E695" s="258"/>
      <c r="F695" s="193"/>
      <c r="G695" s="91"/>
      <c r="H695" s="91"/>
      <c r="I695" s="294"/>
      <c r="J695" s="193"/>
      <c r="K695" s="193"/>
      <c r="L695" s="193"/>
      <c r="M695" s="295"/>
      <c r="N695" s="91"/>
      <c r="O695" s="193"/>
      <c r="P695" s="356"/>
      <c r="Q695" s="356"/>
      <c r="R695" s="356"/>
      <c r="S695" s="357"/>
      <c r="T695" s="357"/>
      <c r="U695" s="357"/>
      <c r="V695" s="357"/>
      <c r="W695" s="357"/>
      <c r="X695" s="357"/>
      <c r="Y695" s="357"/>
      <c r="Z695" s="357"/>
      <c r="AA695" s="374"/>
      <c r="AB695" s="377"/>
      <c r="AC695" s="377"/>
      <c r="AD695" s="377"/>
      <c r="AE695" s="288"/>
      <c r="AF695" s="288"/>
      <c r="AG695" s="288"/>
      <c r="AH695" s="288"/>
      <c r="AI695" s="288"/>
      <c r="AJ695" s="288"/>
      <c r="AK695" s="374"/>
      <c r="AL695" s="91"/>
      <c r="AM695" s="376"/>
      <c r="AN695" s="376"/>
      <c r="AO695" s="286"/>
      <c r="AP695" s="286"/>
      <c r="AQ695" s="286"/>
      <c r="AR695" s="286"/>
      <c r="AS695" s="286"/>
      <c r="AT695" s="286"/>
      <c r="AU695" s="261"/>
      <c r="AV695" s="371"/>
      <c r="AW695" s="91"/>
      <c r="AX695" s="91"/>
      <c r="AY695" s="286"/>
      <c r="AZ695" s="286"/>
      <c r="BA695" s="286"/>
      <c r="BB695" s="286"/>
      <c r="BC695" s="286"/>
      <c r="BD695" s="286"/>
      <c r="BE695" s="261"/>
      <c r="BF695" s="261"/>
      <c r="BG695" s="261"/>
      <c r="BH695" s="261"/>
      <c r="BI695" s="261"/>
      <c r="BJ695" s="261"/>
      <c r="BK695" s="261"/>
      <c r="BL695" s="91"/>
      <c r="BM695" s="278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  <c r="BZ695" s="91"/>
      <c r="CA695" s="91"/>
      <c r="CB695" s="91"/>
      <c r="CC695" s="91"/>
      <c r="CD695" s="91"/>
      <c r="CE695" s="91"/>
      <c r="CF695" s="91"/>
      <c r="CG695" s="91"/>
      <c r="CH695" s="91"/>
      <c r="CI695" s="91"/>
      <c r="CJ695" s="91"/>
      <c r="CK695" s="91"/>
      <c r="CL695" s="91"/>
      <c r="CM695" s="91"/>
      <c r="CN695" s="91"/>
      <c r="CO695" s="91"/>
      <c r="CP695" s="91"/>
      <c r="CQ695" s="91"/>
      <c r="CR695" s="91"/>
      <c r="CS695" s="91"/>
      <c r="CT695" s="91"/>
      <c r="CU695" s="91"/>
      <c r="CV695" s="91"/>
      <c r="CW695" s="91"/>
      <c r="CX695" s="91"/>
      <c r="CY695" s="91"/>
      <c r="CZ695" s="91"/>
      <c r="DA695" s="91"/>
      <c r="DB695" s="91"/>
      <c r="DC695" s="91"/>
      <c r="DD695" s="91"/>
      <c r="DE695" s="91"/>
      <c r="DF695" s="91"/>
      <c r="DG695" s="91"/>
      <c r="DH695" s="91"/>
      <c r="DI695" s="91"/>
      <c r="DJ695" s="91"/>
      <c r="DK695" s="91"/>
      <c r="DL695" s="91"/>
      <c r="DM695" s="91"/>
      <c r="DN695" s="91"/>
      <c r="DO695" s="91"/>
      <c r="DP695" s="91"/>
      <c r="DQ695" s="91"/>
      <c r="DR695" s="91"/>
      <c r="DS695" s="91"/>
      <c r="DT695" s="91"/>
      <c r="DU695" s="91"/>
      <c r="DV695" s="91"/>
      <c r="DW695" s="91"/>
      <c r="DX695" s="91"/>
      <c r="DY695" s="91"/>
    </row>
    <row r="696" spans="1:129" ht="15.75">
      <c r="A696" s="238"/>
      <c r="D696" s="192"/>
      <c r="E696" s="258"/>
      <c r="F696" s="193"/>
      <c r="G696" s="91"/>
      <c r="H696" s="91"/>
      <c r="I696" s="294"/>
      <c r="J696" s="193"/>
      <c r="K696" s="193"/>
      <c r="L696" s="193"/>
      <c r="M696" s="295"/>
      <c r="N696" s="91"/>
      <c r="O696" s="193"/>
      <c r="P696" s="356"/>
      <c r="Q696" s="356"/>
      <c r="R696" s="356"/>
      <c r="S696" s="357"/>
      <c r="T696" s="357"/>
      <c r="U696" s="357"/>
      <c r="V696" s="357"/>
      <c r="W696" s="357"/>
      <c r="X696" s="357"/>
      <c r="Y696" s="357"/>
      <c r="Z696" s="357"/>
      <c r="AA696" s="374"/>
      <c r="AB696" s="377"/>
      <c r="AC696" s="377"/>
      <c r="AD696" s="377"/>
      <c r="AE696" s="288"/>
      <c r="AF696" s="288"/>
      <c r="AG696" s="288"/>
      <c r="AH696" s="288"/>
      <c r="AI696" s="288"/>
      <c r="AJ696" s="288"/>
      <c r="AK696" s="374"/>
      <c r="AL696" s="91"/>
      <c r="AM696" s="376"/>
      <c r="AN696" s="376"/>
      <c r="AO696" s="286"/>
      <c r="AP696" s="286"/>
      <c r="AQ696" s="286"/>
      <c r="AR696" s="286"/>
      <c r="AS696" s="286"/>
      <c r="AT696" s="286"/>
      <c r="AU696" s="261"/>
      <c r="AV696" s="371"/>
      <c r="AW696" s="91"/>
      <c r="AX696" s="91"/>
      <c r="AY696" s="286"/>
      <c r="AZ696" s="286"/>
      <c r="BA696" s="286"/>
      <c r="BB696" s="286"/>
      <c r="BC696" s="286"/>
      <c r="BD696" s="286"/>
      <c r="BE696" s="261"/>
      <c r="BF696" s="261"/>
      <c r="BG696" s="261"/>
      <c r="BH696" s="261"/>
      <c r="BI696" s="261"/>
      <c r="BJ696" s="261"/>
      <c r="BK696" s="261"/>
      <c r="BL696" s="91"/>
      <c r="BM696" s="278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  <c r="BZ696" s="91"/>
      <c r="CA696" s="91"/>
      <c r="CB696" s="91"/>
      <c r="CC696" s="91"/>
      <c r="CD696" s="91"/>
      <c r="CE696" s="91"/>
      <c r="CF696" s="91"/>
      <c r="CG696" s="91"/>
      <c r="CH696" s="91"/>
      <c r="CI696" s="91"/>
      <c r="CJ696" s="91"/>
      <c r="CK696" s="91"/>
      <c r="CL696" s="91"/>
      <c r="CM696" s="91"/>
      <c r="CN696" s="91"/>
      <c r="CO696" s="91"/>
      <c r="CP696" s="91"/>
      <c r="CQ696" s="91"/>
      <c r="CR696" s="91"/>
      <c r="CS696" s="91"/>
      <c r="CT696" s="91"/>
      <c r="CU696" s="91"/>
      <c r="CV696" s="91"/>
      <c r="CW696" s="91"/>
      <c r="CX696" s="91"/>
      <c r="CY696" s="91"/>
      <c r="CZ696" s="91"/>
      <c r="DA696" s="91"/>
      <c r="DB696" s="91"/>
      <c r="DC696" s="91"/>
      <c r="DD696" s="91"/>
      <c r="DE696" s="91"/>
      <c r="DF696" s="91"/>
      <c r="DG696" s="91"/>
      <c r="DH696" s="91"/>
      <c r="DI696" s="91"/>
      <c r="DJ696" s="91"/>
      <c r="DK696" s="91"/>
      <c r="DL696" s="91"/>
      <c r="DM696" s="91"/>
      <c r="DN696" s="91"/>
      <c r="DO696" s="91"/>
      <c r="DP696" s="91"/>
      <c r="DQ696" s="91"/>
      <c r="DR696" s="91"/>
      <c r="DS696" s="91"/>
      <c r="DT696" s="91"/>
      <c r="DU696" s="91"/>
      <c r="DV696" s="91"/>
      <c r="DW696" s="91"/>
      <c r="DX696" s="91"/>
      <c r="DY696" s="91"/>
    </row>
    <row r="697" spans="1:129" ht="15.75">
      <c r="A697" s="238"/>
      <c r="D697" s="192"/>
      <c r="E697" s="258"/>
      <c r="F697" s="193"/>
      <c r="G697" s="91"/>
      <c r="H697" s="91"/>
      <c r="I697" s="294"/>
      <c r="J697" s="193"/>
      <c r="K697" s="193"/>
      <c r="L697" s="193"/>
      <c r="M697" s="295"/>
      <c r="N697" s="91"/>
      <c r="O697" s="193"/>
      <c r="P697" s="356"/>
      <c r="Q697" s="356"/>
      <c r="R697" s="356"/>
      <c r="S697" s="357"/>
      <c r="T697" s="357"/>
      <c r="U697" s="357"/>
      <c r="V697" s="357"/>
      <c r="W697" s="357"/>
      <c r="X697" s="357"/>
      <c r="Y697" s="357"/>
      <c r="Z697" s="357"/>
      <c r="AA697" s="374"/>
      <c r="AB697" s="377"/>
      <c r="AC697" s="377"/>
      <c r="AD697" s="377"/>
      <c r="AE697" s="288"/>
      <c r="AF697" s="288"/>
      <c r="AG697" s="288"/>
      <c r="AH697" s="288"/>
      <c r="AI697" s="288"/>
      <c r="AJ697" s="288"/>
      <c r="AK697" s="374"/>
      <c r="AL697" s="91"/>
      <c r="AM697" s="376"/>
      <c r="AN697" s="376"/>
      <c r="AO697" s="286"/>
      <c r="AP697" s="286"/>
      <c r="AQ697" s="286"/>
      <c r="AR697" s="286"/>
      <c r="AS697" s="286"/>
      <c r="AT697" s="286"/>
      <c r="AU697" s="261"/>
      <c r="AV697" s="371"/>
      <c r="AW697" s="91"/>
      <c r="AX697" s="91"/>
      <c r="AY697" s="286"/>
      <c r="AZ697" s="286"/>
      <c r="BA697" s="286"/>
      <c r="BB697" s="286"/>
      <c r="BC697" s="286"/>
      <c r="BD697" s="286"/>
      <c r="BE697" s="261"/>
      <c r="BF697" s="261"/>
      <c r="BG697" s="261"/>
      <c r="BH697" s="261"/>
      <c r="BI697" s="261"/>
      <c r="BJ697" s="261"/>
      <c r="BK697" s="261"/>
      <c r="BL697" s="91"/>
      <c r="BM697" s="278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  <c r="BZ697" s="91"/>
      <c r="CA697" s="91"/>
      <c r="CB697" s="91"/>
      <c r="CC697" s="91"/>
      <c r="CD697" s="91"/>
      <c r="CE697" s="91"/>
      <c r="CF697" s="91"/>
      <c r="CG697" s="91"/>
      <c r="CH697" s="91"/>
      <c r="CI697" s="91"/>
      <c r="CJ697" s="91"/>
      <c r="CK697" s="91"/>
      <c r="CL697" s="91"/>
      <c r="CM697" s="91"/>
      <c r="CN697" s="91"/>
      <c r="CO697" s="91"/>
      <c r="CP697" s="91"/>
      <c r="CQ697" s="91"/>
      <c r="CR697" s="91"/>
      <c r="CS697" s="91"/>
      <c r="CT697" s="91"/>
      <c r="CU697" s="91"/>
      <c r="CV697" s="91"/>
      <c r="CW697" s="91"/>
      <c r="CX697" s="91"/>
      <c r="CY697" s="91"/>
      <c r="CZ697" s="91"/>
      <c r="DA697" s="91"/>
      <c r="DB697" s="91"/>
      <c r="DC697" s="91"/>
      <c r="DD697" s="91"/>
      <c r="DE697" s="91"/>
      <c r="DF697" s="91"/>
      <c r="DG697" s="91"/>
      <c r="DH697" s="91"/>
      <c r="DI697" s="91"/>
      <c r="DJ697" s="91"/>
      <c r="DK697" s="91"/>
      <c r="DL697" s="91"/>
      <c r="DM697" s="91"/>
      <c r="DN697" s="91"/>
      <c r="DO697" s="91"/>
      <c r="DP697" s="91"/>
      <c r="DQ697" s="91"/>
      <c r="DR697" s="91"/>
      <c r="DS697" s="91"/>
      <c r="DT697" s="91"/>
      <c r="DU697" s="91"/>
      <c r="DV697" s="91"/>
      <c r="DW697" s="91"/>
      <c r="DX697" s="91"/>
      <c r="DY697" s="91"/>
    </row>
    <row r="698" spans="1:129" ht="15.75">
      <c r="A698" s="238"/>
      <c r="D698" s="192"/>
      <c r="E698" s="258"/>
      <c r="F698" s="193"/>
      <c r="G698" s="91"/>
      <c r="H698" s="91"/>
      <c r="I698" s="294"/>
      <c r="J698" s="193"/>
      <c r="K698" s="193"/>
      <c r="L698" s="193"/>
      <c r="M698" s="295"/>
      <c r="N698" s="91"/>
      <c r="O698" s="193"/>
      <c r="P698" s="356"/>
      <c r="Q698" s="356"/>
      <c r="R698" s="356"/>
      <c r="S698" s="357"/>
      <c r="T698" s="357"/>
      <c r="U698" s="357"/>
      <c r="V698" s="357"/>
      <c r="W698" s="357"/>
      <c r="X698" s="357"/>
      <c r="Y698" s="357"/>
      <c r="Z698" s="357"/>
      <c r="AA698" s="374"/>
      <c r="AB698" s="377"/>
      <c r="AC698" s="377"/>
      <c r="AD698" s="377"/>
      <c r="AE698" s="288"/>
      <c r="AF698" s="288"/>
      <c r="AG698" s="288"/>
      <c r="AH698" s="288"/>
      <c r="AI698" s="288"/>
      <c r="AJ698" s="288"/>
      <c r="AK698" s="374"/>
      <c r="AL698" s="91"/>
      <c r="AM698" s="376"/>
      <c r="AN698" s="376"/>
      <c r="AO698" s="286"/>
      <c r="AP698" s="286"/>
      <c r="AQ698" s="286"/>
      <c r="AR698" s="286"/>
      <c r="AS698" s="286"/>
      <c r="AT698" s="286"/>
      <c r="AU698" s="261"/>
      <c r="AV698" s="371"/>
      <c r="AW698" s="91"/>
      <c r="AX698" s="91"/>
      <c r="AY698" s="286"/>
      <c r="AZ698" s="286"/>
      <c r="BA698" s="286"/>
      <c r="BB698" s="286"/>
      <c r="BC698" s="286"/>
      <c r="BD698" s="286"/>
      <c r="BE698" s="261"/>
      <c r="BF698" s="261"/>
      <c r="BG698" s="261"/>
      <c r="BH698" s="261"/>
      <c r="BI698" s="261"/>
      <c r="BJ698" s="261"/>
      <c r="BK698" s="261"/>
      <c r="BL698" s="91"/>
      <c r="BM698" s="278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  <c r="BZ698" s="91"/>
      <c r="CA698" s="91"/>
      <c r="CB698" s="91"/>
      <c r="CC698" s="91"/>
      <c r="CD698" s="91"/>
      <c r="CE698" s="91"/>
      <c r="CF698" s="91"/>
      <c r="CG698" s="91"/>
      <c r="CH698" s="91"/>
      <c r="CI698" s="91"/>
      <c r="CJ698" s="91"/>
      <c r="CK698" s="91"/>
      <c r="CL698" s="91"/>
      <c r="CM698" s="91"/>
      <c r="CN698" s="91"/>
      <c r="CO698" s="91"/>
      <c r="CP698" s="91"/>
      <c r="CQ698" s="91"/>
      <c r="CR698" s="91"/>
      <c r="CS698" s="91"/>
      <c r="CT698" s="91"/>
      <c r="CU698" s="91"/>
      <c r="CV698" s="91"/>
      <c r="CW698" s="91"/>
      <c r="CX698" s="91"/>
      <c r="CY698" s="91"/>
      <c r="CZ698" s="91"/>
      <c r="DA698" s="91"/>
      <c r="DB698" s="91"/>
      <c r="DC698" s="91"/>
      <c r="DD698" s="91"/>
      <c r="DE698" s="91"/>
      <c r="DF698" s="91"/>
      <c r="DG698" s="91"/>
      <c r="DH698" s="91"/>
      <c r="DI698" s="91"/>
      <c r="DJ698" s="91"/>
      <c r="DK698" s="91"/>
      <c r="DL698" s="91"/>
      <c r="DM698" s="91"/>
      <c r="DN698" s="91"/>
      <c r="DO698" s="91"/>
      <c r="DP698" s="91"/>
      <c r="DQ698" s="91"/>
      <c r="DR698" s="91"/>
      <c r="DS698" s="91"/>
      <c r="DT698" s="91"/>
      <c r="DU698" s="91"/>
      <c r="DV698" s="91"/>
      <c r="DW698" s="91"/>
      <c r="DX698" s="91"/>
      <c r="DY698" s="91"/>
    </row>
    <row r="699" spans="1:129" ht="15.75">
      <c r="A699" s="238"/>
      <c r="D699" s="192"/>
      <c r="E699" s="258"/>
      <c r="F699" s="193"/>
      <c r="G699" s="91"/>
      <c r="H699" s="91"/>
      <c r="I699" s="294"/>
      <c r="J699" s="193"/>
      <c r="K699" s="193"/>
      <c r="L699" s="193"/>
      <c r="M699" s="295"/>
      <c r="N699" s="91"/>
      <c r="O699" s="193"/>
      <c r="P699" s="356"/>
      <c r="Q699" s="356"/>
      <c r="R699" s="356"/>
      <c r="S699" s="357"/>
      <c r="T699" s="357"/>
      <c r="U699" s="357"/>
      <c r="V699" s="357"/>
      <c r="W699" s="357"/>
      <c r="X699" s="357"/>
      <c r="Y699" s="357"/>
      <c r="Z699" s="357"/>
      <c r="AA699" s="374"/>
      <c r="AB699" s="377"/>
      <c r="AC699" s="377"/>
      <c r="AD699" s="377"/>
      <c r="AE699" s="288"/>
      <c r="AF699" s="288"/>
      <c r="AG699" s="288"/>
      <c r="AH699" s="288"/>
      <c r="AI699" s="288"/>
      <c r="AJ699" s="288"/>
      <c r="AK699" s="374"/>
      <c r="AL699" s="91"/>
      <c r="AM699" s="376"/>
      <c r="AN699" s="376"/>
      <c r="AO699" s="286"/>
      <c r="AP699" s="286"/>
      <c r="AQ699" s="286"/>
      <c r="AR699" s="286"/>
      <c r="AS699" s="286"/>
      <c r="AT699" s="286"/>
      <c r="AU699" s="261"/>
      <c r="AV699" s="371"/>
      <c r="AW699" s="91"/>
      <c r="AX699" s="91"/>
      <c r="AY699" s="286"/>
      <c r="AZ699" s="286"/>
      <c r="BA699" s="286"/>
      <c r="BB699" s="286"/>
      <c r="BC699" s="286"/>
      <c r="BD699" s="286"/>
      <c r="BE699" s="261"/>
      <c r="BF699" s="261"/>
      <c r="BG699" s="261"/>
      <c r="BH699" s="261"/>
      <c r="BI699" s="261"/>
      <c r="BJ699" s="261"/>
      <c r="BK699" s="261"/>
      <c r="BL699" s="91"/>
      <c r="BM699" s="278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  <c r="BZ699" s="91"/>
      <c r="CA699" s="91"/>
      <c r="CB699" s="91"/>
      <c r="CC699" s="91"/>
      <c r="CD699" s="91"/>
      <c r="CE699" s="91"/>
      <c r="CF699" s="91"/>
      <c r="CG699" s="91"/>
      <c r="CH699" s="91"/>
      <c r="CI699" s="91"/>
      <c r="CJ699" s="91"/>
      <c r="CK699" s="91"/>
      <c r="CL699" s="91"/>
      <c r="CM699" s="91"/>
      <c r="CN699" s="91"/>
      <c r="CO699" s="91"/>
      <c r="CP699" s="91"/>
      <c r="CQ699" s="91"/>
      <c r="CR699" s="91"/>
      <c r="CS699" s="91"/>
      <c r="CT699" s="91"/>
      <c r="CU699" s="91"/>
      <c r="CV699" s="91"/>
      <c r="CW699" s="91"/>
      <c r="CX699" s="91"/>
      <c r="CY699" s="91"/>
      <c r="CZ699" s="91"/>
      <c r="DA699" s="91"/>
      <c r="DB699" s="91"/>
      <c r="DC699" s="91"/>
      <c r="DD699" s="91"/>
      <c r="DE699" s="91"/>
      <c r="DF699" s="91"/>
      <c r="DG699" s="91"/>
      <c r="DH699" s="91"/>
      <c r="DI699" s="91"/>
      <c r="DJ699" s="91"/>
      <c r="DK699" s="91"/>
      <c r="DL699" s="91"/>
      <c r="DM699" s="91"/>
      <c r="DN699" s="91"/>
      <c r="DO699" s="91"/>
      <c r="DP699" s="91"/>
      <c r="DQ699" s="91"/>
      <c r="DR699" s="91"/>
      <c r="DS699" s="91"/>
      <c r="DT699" s="91"/>
      <c r="DU699" s="91"/>
      <c r="DV699" s="91"/>
      <c r="DW699" s="91"/>
      <c r="DX699" s="91"/>
      <c r="DY699" s="91"/>
    </row>
    <row r="700" spans="1:129" ht="15.75">
      <c r="A700" s="238"/>
      <c r="D700" s="192"/>
      <c r="E700" s="258"/>
      <c r="F700" s="193"/>
      <c r="G700" s="91"/>
      <c r="H700" s="91"/>
      <c r="I700" s="294"/>
      <c r="J700" s="193"/>
      <c r="K700" s="193"/>
      <c r="L700" s="193"/>
      <c r="M700" s="295"/>
      <c r="N700" s="91"/>
      <c r="O700" s="193"/>
      <c r="P700" s="356"/>
      <c r="Q700" s="356"/>
      <c r="R700" s="356"/>
      <c r="S700" s="357"/>
      <c r="T700" s="357"/>
      <c r="U700" s="357"/>
      <c r="V700" s="357"/>
      <c r="W700" s="357"/>
      <c r="X700" s="357"/>
      <c r="Y700" s="357"/>
      <c r="Z700" s="357"/>
      <c r="AA700" s="374"/>
      <c r="AB700" s="377"/>
      <c r="AC700" s="377"/>
      <c r="AD700" s="377"/>
      <c r="AE700" s="288"/>
      <c r="AF700" s="288"/>
      <c r="AG700" s="288"/>
      <c r="AH700" s="288"/>
      <c r="AI700" s="288"/>
      <c r="AJ700" s="288"/>
      <c r="AK700" s="374"/>
      <c r="AL700" s="91"/>
      <c r="AM700" s="376"/>
      <c r="AN700" s="376"/>
      <c r="AO700" s="286"/>
      <c r="AP700" s="286"/>
      <c r="AQ700" s="286"/>
      <c r="AR700" s="286"/>
      <c r="AS700" s="286"/>
      <c r="AT700" s="286"/>
      <c r="AU700" s="261"/>
      <c r="AV700" s="371"/>
      <c r="AW700" s="91"/>
      <c r="AX700" s="91"/>
      <c r="AY700" s="286"/>
      <c r="AZ700" s="286"/>
      <c r="BA700" s="286"/>
      <c r="BB700" s="286"/>
      <c r="BC700" s="286"/>
      <c r="BD700" s="286"/>
      <c r="BE700" s="261"/>
      <c r="BF700" s="261"/>
      <c r="BG700" s="261"/>
      <c r="BH700" s="261"/>
      <c r="BI700" s="261"/>
      <c r="BJ700" s="261"/>
      <c r="BK700" s="261"/>
      <c r="BL700" s="91"/>
      <c r="BM700" s="278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  <c r="BZ700" s="91"/>
      <c r="CA700" s="91"/>
      <c r="CB700" s="91"/>
      <c r="CC700" s="91"/>
      <c r="CD700" s="91"/>
      <c r="CE700" s="91"/>
      <c r="CF700" s="91"/>
      <c r="CG700" s="91"/>
      <c r="CH700" s="91"/>
      <c r="CI700" s="91"/>
      <c r="CJ700" s="91"/>
      <c r="CK700" s="91"/>
      <c r="CL700" s="91"/>
      <c r="CM700" s="91"/>
      <c r="CN700" s="91"/>
      <c r="CO700" s="91"/>
      <c r="CP700" s="91"/>
      <c r="CQ700" s="91"/>
      <c r="CR700" s="91"/>
      <c r="CS700" s="91"/>
      <c r="CT700" s="91"/>
      <c r="CU700" s="91"/>
      <c r="CV700" s="91"/>
      <c r="CW700" s="91"/>
      <c r="CX700" s="91"/>
      <c r="CY700" s="91"/>
      <c r="CZ700" s="91"/>
      <c r="DA700" s="91"/>
      <c r="DB700" s="91"/>
      <c r="DC700" s="91"/>
      <c r="DD700" s="91"/>
      <c r="DE700" s="91"/>
      <c r="DF700" s="91"/>
      <c r="DG700" s="91"/>
      <c r="DH700" s="91"/>
      <c r="DI700" s="91"/>
      <c r="DJ700" s="91"/>
      <c r="DK700" s="91"/>
      <c r="DL700" s="91"/>
      <c r="DM700" s="91"/>
      <c r="DN700" s="91"/>
      <c r="DO700" s="91"/>
      <c r="DP700" s="91"/>
      <c r="DQ700" s="91"/>
      <c r="DR700" s="91"/>
      <c r="DS700" s="91"/>
      <c r="DT700" s="91"/>
      <c r="DU700" s="91"/>
      <c r="DV700" s="91"/>
      <c r="DW700" s="91"/>
      <c r="DX700" s="91"/>
      <c r="DY700" s="91"/>
    </row>
    <row r="712" spans="1:129" ht="15.75">
      <c r="A712" s="296"/>
      <c r="D712" s="192"/>
      <c r="E712" s="258"/>
      <c r="F712" s="193"/>
      <c r="G712" s="91"/>
      <c r="H712" s="91"/>
      <c r="I712" s="294"/>
      <c r="J712" s="193"/>
      <c r="K712" s="193"/>
      <c r="L712" s="193"/>
      <c r="M712" s="295"/>
      <c r="N712" s="258"/>
      <c r="O712" s="193"/>
      <c r="P712" s="356"/>
      <c r="Q712" s="356"/>
      <c r="R712" s="356"/>
      <c r="S712" s="357"/>
      <c r="T712" s="357"/>
      <c r="U712" s="357"/>
      <c r="V712" s="357"/>
      <c r="W712" s="357"/>
      <c r="X712" s="357"/>
      <c r="Y712" s="357"/>
      <c r="Z712" s="357"/>
      <c r="AA712" s="374"/>
      <c r="AB712" s="377"/>
      <c r="AC712" s="377"/>
      <c r="AD712" s="377"/>
      <c r="AE712" s="288"/>
      <c r="AF712" s="288"/>
      <c r="AG712" s="288"/>
      <c r="AH712" s="288"/>
      <c r="AI712" s="288"/>
      <c r="AJ712" s="288"/>
      <c r="AK712" s="374"/>
      <c r="AL712" s="91"/>
      <c r="AM712" s="376"/>
      <c r="AN712" s="376"/>
      <c r="AO712" s="286"/>
      <c r="AP712" s="286"/>
      <c r="AQ712" s="286"/>
      <c r="AR712" s="286"/>
      <c r="AS712" s="286"/>
      <c r="AT712" s="286"/>
      <c r="AU712" s="261"/>
      <c r="AV712" s="371"/>
      <c r="AW712" s="91"/>
      <c r="AX712" s="91"/>
      <c r="AY712" s="286"/>
      <c r="AZ712" s="286"/>
      <c r="BA712" s="286"/>
      <c r="BB712" s="286"/>
      <c r="BC712" s="286"/>
      <c r="BD712" s="286"/>
      <c r="BE712" s="261"/>
      <c r="BF712" s="261"/>
      <c r="BG712" s="261"/>
      <c r="BH712" s="261"/>
      <c r="BI712" s="261"/>
      <c r="BJ712" s="261"/>
      <c r="BK712" s="261"/>
      <c r="BL712" s="91"/>
      <c r="BM712" s="278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  <c r="BZ712" s="91"/>
      <c r="CA712" s="91"/>
      <c r="CB712" s="91"/>
      <c r="CC712" s="91"/>
      <c r="CD712" s="91"/>
      <c r="CE712" s="91"/>
      <c r="CF712" s="91"/>
      <c r="CG712" s="91"/>
      <c r="CH712" s="91"/>
      <c r="CI712" s="91"/>
      <c r="CJ712" s="91"/>
      <c r="CK712" s="91"/>
      <c r="CL712" s="91"/>
      <c r="CM712" s="91"/>
      <c r="CN712" s="91"/>
      <c r="CO712" s="91"/>
      <c r="CP712" s="91"/>
      <c r="CQ712" s="91"/>
      <c r="CR712" s="91"/>
      <c r="CS712" s="91"/>
      <c r="CT712" s="91"/>
      <c r="CU712" s="91"/>
      <c r="CV712" s="91"/>
      <c r="CW712" s="91"/>
      <c r="CX712" s="91"/>
      <c r="CY712" s="91"/>
      <c r="CZ712" s="91"/>
      <c r="DA712" s="91"/>
      <c r="DB712" s="91"/>
      <c r="DC712" s="91"/>
      <c r="DD712" s="91"/>
      <c r="DE712" s="91"/>
      <c r="DF712" s="91"/>
      <c r="DG712" s="91"/>
      <c r="DH712" s="91"/>
      <c r="DI712" s="91"/>
      <c r="DJ712" s="91"/>
      <c r="DK712" s="91"/>
      <c r="DL712" s="91"/>
      <c r="DM712" s="91"/>
      <c r="DN712" s="91"/>
      <c r="DO712" s="91"/>
      <c r="DP712" s="91"/>
      <c r="DQ712" s="91"/>
      <c r="DR712" s="91"/>
      <c r="DS712" s="91"/>
      <c r="DT712" s="91"/>
      <c r="DU712" s="91"/>
      <c r="DV712" s="91"/>
      <c r="DW712" s="91"/>
      <c r="DX712" s="91"/>
      <c r="DY712" s="91"/>
    </row>
    <row r="716" spans="1:129" ht="15.75">
      <c r="A716" s="238"/>
      <c r="D716" s="192"/>
      <c r="E716" s="258"/>
      <c r="F716" s="193"/>
      <c r="G716" s="91"/>
      <c r="H716" s="91"/>
      <c r="I716" s="294"/>
      <c r="J716" s="193"/>
      <c r="K716" s="193"/>
      <c r="L716" s="193"/>
      <c r="M716" s="295"/>
      <c r="N716" s="258"/>
      <c r="O716" s="193"/>
      <c r="P716" s="356"/>
      <c r="Q716" s="356"/>
      <c r="R716" s="356"/>
      <c r="S716" s="357"/>
      <c r="T716" s="357"/>
      <c r="U716" s="357"/>
      <c r="V716" s="357"/>
      <c r="W716" s="357"/>
      <c r="X716" s="357"/>
      <c r="Y716" s="357"/>
      <c r="Z716" s="357"/>
      <c r="AA716" s="374"/>
      <c r="AB716" s="377"/>
      <c r="AC716" s="377"/>
      <c r="AD716" s="377"/>
      <c r="AE716" s="288"/>
      <c r="AF716" s="288"/>
      <c r="AG716" s="288"/>
      <c r="AH716" s="288"/>
      <c r="AI716" s="288"/>
      <c r="AJ716" s="288"/>
      <c r="AK716" s="374"/>
      <c r="AL716" s="91"/>
      <c r="AM716" s="376"/>
      <c r="AN716" s="376"/>
      <c r="AO716" s="286"/>
      <c r="AP716" s="286"/>
      <c r="AQ716" s="286"/>
      <c r="AR716" s="286"/>
      <c r="AS716" s="286"/>
      <c r="AT716" s="286"/>
      <c r="AU716" s="261"/>
      <c r="AV716" s="371"/>
      <c r="AW716" s="91"/>
      <c r="AX716" s="91"/>
      <c r="AY716" s="286"/>
      <c r="AZ716" s="286"/>
      <c r="BA716" s="286"/>
      <c r="BB716" s="286"/>
      <c r="BC716" s="286"/>
      <c r="BD716" s="286"/>
      <c r="BE716" s="261"/>
      <c r="BF716" s="261"/>
      <c r="BG716" s="261"/>
      <c r="BH716" s="261"/>
      <c r="BI716" s="261"/>
      <c r="BJ716" s="261"/>
      <c r="BK716" s="261"/>
      <c r="BL716" s="91"/>
      <c r="BM716" s="278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  <c r="BZ716" s="91"/>
      <c r="CA716" s="91"/>
      <c r="CB716" s="91"/>
      <c r="CC716" s="91"/>
      <c r="CD716" s="91"/>
      <c r="CE716" s="91"/>
      <c r="CF716" s="91"/>
      <c r="CG716" s="91"/>
      <c r="CH716" s="91"/>
      <c r="CI716" s="91"/>
      <c r="CJ716" s="91"/>
      <c r="CK716" s="91"/>
      <c r="CL716" s="91"/>
      <c r="CM716" s="91"/>
      <c r="CN716" s="91"/>
      <c r="CO716" s="91"/>
      <c r="CP716" s="91"/>
      <c r="CQ716" s="91"/>
      <c r="CR716" s="91"/>
      <c r="CS716" s="91"/>
      <c r="CT716" s="91"/>
      <c r="CU716" s="91"/>
      <c r="CV716" s="91"/>
      <c r="CW716" s="91"/>
      <c r="CX716" s="91"/>
      <c r="CY716" s="91"/>
      <c r="CZ716" s="91"/>
      <c r="DA716" s="91"/>
      <c r="DB716" s="91"/>
      <c r="DC716" s="91"/>
      <c r="DD716" s="91"/>
      <c r="DE716" s="91"/>
      <c r="DF716" s="91"/>
      <c r="DG716" s="91"/>
      <c r="DH716" s="91"/>
      <c r="DI716" s="91"/>
      <c r="DJ716" s="91"/>
      <c r="DK716" s="91"/>
      <c r="DL716" s="91"/>
      <c r="DM716" s="91"/>
      <c r="DN716" s="91"/>
      <c r="DO716" s="91"/>
      <c r="DP716" s="91"/>
      <c r="DQ716" s="91"/>
      <c r="DR716" s="91"/>
      <c r="DS716" s="91"/>
      <c r="DT716" s="91"/>
      <c r="DU716" s="91"/>
      <c r="DV716" s="91"/>
      <c r="DW716" s="91"/>
      <c r="DX716" s="91"/>
      <c r="DY716" s="91"/>
    </row>
    <row r="718" spans="1:129" ht="15.75">
      <c r="A718" s="238"/>
      <c r="D718" s="192"/>
      <c r="E718" s="258"/>
      <c r="F718" s="193"/>
      <c r="G718" s="91"/>
      <c r="H718" s="91"/>
      <c r="I718" s="294"/>
      <c r="J718" s="193"/>
      <c r="K718" s="193"/>
      <c r="L718" s="193"/>
      <c r="M718" s="295"/>
      <c r="N718" s="258"/>
      <c r="O718" s="193"/>
      <c r="P718" s="356"/>
      <c r="Q718" s="356"/>
      <c r="R718" s="356"/>
      <c r="S718" s="357"/>
      <c r="T718" s="357"/>
      <c r="U718" s="357"/>
      <c r="V718" s="357"/>
      <c r="W718" s="357"/>
      <c r="X718" s="357"/>
      <c r="Y718" s="357"/>
      <c r="Z718" s="357"/>
      <c r="AA718" s="374"/>
      <c r="AB718" s="377"/>
      <c r="AC718" s="377"/>
      <c r="AD718" s="377"/>
      <c r="AE718" s="288"/>
      <c r="AF718" s="288"/>
      <c r="AG718" s="288"/>
      <c r="AH718" s="288"/>
      <c r="AI718" s="288"/>
      <c r="AJ718" s="288"/>
      <c r="AK718" s="374"/>
      <c r="AL718" s="91"/>
      <c r="AM718" s="376"/>
      <c r="AN718" s="376"/>
      <c r="AO718" s="286"/>
      <c r="AP718" s="286"/>
      <c r="AQ718" s="286"/>
      <c r="AR718" s="286"/>
      <c r="AS718" s="286"/>
      <c r="AT718" s="286"/>
      <c r="AU718" s="261"/>
      <c r="AV718" s="371"/>
      <c r="AW718" s="91"/>
      <c r="AX718" s="91"/>
      <c r="AY718" s="286"/>
      <c r="AZ718" s="286"/>
      <c r="BA718" s="286"/>
      <c r="BB718" s="286"/>
      <c r="BC718" s="286"/>
      <c r="BD718" s="286"/>
      <c r="BE718" s="261"/>
      <c r="BF718" s="261"/>
      <c r="BG718" s="261"/>
      <c r="BH718" s="261"/>
      <c r="BI718" s="261"/>
      <c r="BJ718" s="261"/>
      <c r="BK718" s="261"/>
      <c r="BL718" s="91"/>
      <c r="BM718" s="278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  <c r="BZ718" s="91"/>
      <c r="CA718" s="91"/>
      <c r="CB718" s="91"/>
      <c r="CC718" s="91"/>
      <c r="CD718" s="91"/>
      <c r="CE718" s="91"/>
      <c r="CF718" s="91"/>
      <c r="CG718" s="91"/>
      <c r="CH718" s="91"/>
      <c r="CI718" s="91"/>
      <c r="CJ718" s="91"/>
      <c r="CK718" s="91"/>
      <c r="CL718" s="91"/>
      <c r="CM718" s="91"/>
      <c r="CN718" s="91"/>
      <c r="CO718" s="91"/>
      <c r="CP718" s="91"/>
      <c r="CQ718" s="91"/>
      <c r="CR718" s="91"/>
      <c r="CS718" s="91"/>
      <c r="CT718" s="91"/>
      <c r="CU718" s="91"/>
      <c r="CV718" s="91"/>
      <c r="CW718" s="91"/>
      <c r="CX718" s="91"/>
      <c r="CY718" s="91"/>
      <c r="CZ718" s="91"/>
      <c r="DA718" s="91"/>
      <c r="DB718" s="91"/>
      <c r="DC718" s="91"/>
      <c r="DD718" s="91"/>
      <c r="DE718" s="91"/>
      <c r="DF718" s="91"/>
      <c r="DG718" s="91"/>
      <c r="DH718" s="91"/>
      <c r="DI718" s="91"/>
      <c r="DJ718" s="91"/>
      <c r="DK718" s="91"/>
      <c r="DL718" s="91"/>
      <c r="DM718" s="91"/>
      <c r="DN718" s="91"/>
      <c r="DO718" s="91"/>
      <c r="DP718" s="91"/>
      <c r="DQ718" s="91"/>
      <c r="DR718" s="91"/>
      <c r="DS718" s="91"/>
      <c r="DT718" s="91"/>
      <c r="DU718" s="91"/>
      <c r="DV718" s="91"/>
      <c r="DW718" s="91"/>
      <c r="DX718" s="91"/>
      <c r="DY718" s="91"/>
    </row>
    <row r="721" spans="1:129" ht="15.75">
      <c r="A721" s="238"/>
      <c r="D721" s="192"/>
      <c r="E721" s="258"/>
      <c r="F721" s="193"/>
      <c r="G721" s="91"/>
      <c r="H721" s="91"/>
      <c r="I721" s="294"/>
      <c r="J721" s="193"/>
      <c r="K721" s="193"/>
      <c r="L721" s="193"/>
      <c r="M721" s="295"/>
      <c r="N721" s="258"/>
      <c r="O721" s="193"/>
      <c r="P721" s="356"/>
      <c r="Q721" s="356"/>
      <c r="R721" s="356"/>
      <c r="S721" s="357"/>
      <c r="T721" s="357"/>
      <c r="U721" s="357"/>
      <c r="V721" s="357"/>
      <c r="W721" s="357"/>
      <c r="X721" s="357"/>
      <c r="Y721" s="357"/>
      <c r="Z721" s="357"/>
      <c r="AA721" s="374"/>
      <c r="AB721" s="377"/>
      <c r="AC721" s="377"/>
      <c r="AD721" s="377"/>
      <c r="AE721" s="288"/>
      <c r="AF721" s="288"/>
      <c r="AG721" s="288"/>
      <c r="AH721" s="288"/>
      <c r="AI721" s="288"/>
      <c r="AJ721" s="288"/>
      <c r="AK721" s="374"/>
      <c r="AL721" s="91"/>
      <c r="AM721" s="376"/>
      <c r="AN721" s="376"/>
      <c r="AO721" s="286"/>
      <c r="AP721" s="286"/>
      <c r="AQ721" s="286"/>
      <c r="AR721" s="286"/>
      <c r="AS721" s="286"/>
      <c r="AT721" s="286"/>
      <c r="AU721" s="261"/>
      <c r="AV721" s="371"/>
      <c r="AW721" s="91"/>
      <c r="AX721" s="91"/>
      <c r="AY721" s="286"/>
      <c r="AZ721" s="286"/>
      <c r="BA721" s="286"/>
      <c r="BB721" s="286"/>
      <c r="BC721" s="286"/>
      <c r="BD721" s="286"/>
      <c r="BE721" s="261"/>
      <c r="BF721" s="261"/>
      <c r="BG721" s="261"/>
      <c r="BH721" s="261"/>
      <c r="BI721" s="261"/>
      <c r="BJ721" s="261"/>
      <c r="BK721" s="261"/>
      <c r="BL721" s="91"/>
      <c r="BM721" s="278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  <c r="BZ721" s="91"/>
      <c r="CA721" s="91"/>
      <c r="CB721" s="91"/>
      <c r="CC721" s="91"/>
      <c r="CD721" s="91"/>
      <c r="CE721" s="91"/>
      <c r="CF721" s="91"/>
      <c r="CG721" s="91"/>
      <c r="CH721" s="91"/>
      <c r="CI721" s="91"/>
      <c r="CJ721" s="91"/>
      <c r="CK721" s="91"/>
      <c r="CL721" s="91"/>
      <c r="CM721" s="91"/>
      <c r="CN721" s="91"/>
      <c r="CO721" s="91"/>
      <c r="CP721" s="91"/>
      <c r="CQ721" s="91"/>
      <c r="CR721" s="91"/>
      <c r="CS721" s="91"/>
      <c r="CT721" s="91"/>
      <c r="CU721" s="91"/>
      <c r="CV721" s="91"/>
      <c r="CW721" s="91"/>
      <c r="CX721" s="91"/>
      <c r="CY721" s="91"/>
      <c r="CZ721" s="91"/>
      <c r="DA721" s="91"/>
      <c r="DB721" s="91"/>
      <c r="DC721" s="91"/>
      <c r="DD721" s="91"/>
      <c r="DE721" s="91"/>
      <c r="DF721" s="91"/>
      <c r="DG721" s="91"/>
      <c r="DH721" s="91"/>
      <c r="DI721" s="91"/>
      <c r="DJ721" s="91"/>
      <c r="DK721" s="91"/>
      <c r="DL721" s="91"/>
      <c r="DM721" s="91"/>
      <c r="DN721" s="91"/>
      <c r="DO721" s="91"/>
      <c r="DP721" s="91"/>
      <c r="DQ721" s="91"/>
      <c r="DR721" s="91"/>
      <c r="DS721" s="91"/>
      <c r="DT721" s="91"/>
      <c r="DU721" s="91"/>
      <c r="DV721" s="91"/>
      <c r="DW721" s="91"/>
      <c r="DX721" s="91"/>
      <c r="DY721" s="91"/>
    </row>
  </sheetData>
  <hyperlinks>
    <hyperlink ref="K91" r:id="rId1" display="mailto:elisabete@mie.utoronto.ca" xr:uid="{00000000-0004-0000-0500-000000000000}"/>
    <hyperlink ref="K283" r:id="rId2" display="mailto:lynette.anderson@utoronto.ca" xr:uid="{00000000-0004-0000-0500-000001000000}"/>
    <hyperlink ref="K286" r:id="rId3" xr:uid="{00000000-0004-0000-0500-000002000000}"/>
    <hyperlink ref="K278" r:id="rId4" display="mailto:konstantin@mie.utoronto.ca" xr:uid="{00000000-0004-0000-0500-000003000000}"/>
    <hyperlink ref="K135" r:id="rId5" display="nancy.calabrese@utoronto.ca" xr:uid="{00000000-0004-0000-0500-000004000000}"/>
    <hyperlink ref="K136" r:id="rId6" display="mailto:angela.rosa@utoronto.ca" xr:uid="{00000000-0004-0000-0500-000005000000}"/>
    <hyperlink ref="K170" r:id="rId7" display="mailto:katrina.soh@utoronto.ca" xr:uid="{00000000-0004-0000-0500-000006000000}"/>
    <hyperlink ref="K301" r:id="rId8" display="mailto:katrina.soh@utoronto.ca" xr:uid="{00000000-0004-0000-0500-000007000000}"/>
    <hyperlink ref="K169" r:id="rId9" display="mailto:elizabeth.den.hartog@utoronto.ca" xr:uid="{00000000-0004-0000-0500-000008000000}"/>
    <hyperlink ref="K296" r:id="rId10" display="mailto:katrina.soh@utoronto.ca" xr:uid="{00000000-0004-0000-0500-000009000000}"/>
    <hyperlink ref="K345" r:id="rId11" display="mailto:katrina.soh@utoronto.ca" xr:uid="{00000000-0004-0000-0500-00000A000000}"/>
    <hyperlink ref="K118" r:id="rId12" display="mailto:angela.rosa@utoronto.ca" xr:uid="{00000000-0004-0000-0500-00000B000000}"/>
    <hyperlink ref="K369" r:id="rId13" display="mailto:christine.kreutzer@utoronto.ca" xr:uid="{00000000-0004-0000-0500-00000C000000}"/>
    <hyperlink ref="K122" r:id="rId14" display="mailto:angela.rosa@utoronto.ca" xr:uid="{00000000-0004-0000-0500-00000D000000}"/>
    <hyperlink ref="K339" r:id="rId15" display="mailto:katrina.soh@utoronto.ca" xr:uid="{00000000-0004-0000-0500-00000E000000}"/>
    <hyperlink ref="K129" r:id="rId16" xr:uid="{00000000-0004-0000-0500-00000F000000}"/>
    <hyperlink ref="K142" r:id="rId17" display="mailto:merle.casci@utoronto.ca" xr:uid="{00000000-0004-0000-0500-000010000000}"/>
    <hyperlink ref="K143" r:id="rId18" display="mailto:merle.casci@utoronto.ca" xr:uid="{00000000-0004-0000-0500-000011000000}"/>
    <hyperlink ref="K127" r:id="rId19" display="mailto:merle.casci@utoronto.ca" xr:uid="{00000000-0004-0000-0500-000012000000}"/>
    <hyperlink ref="K151" r:id="rId20" display="mailto:merle.casci@utoronto.ca" xr:uid="{00000000-0004-0000-0500-000013000000}"/>
    <hyperlink ref="K298" r:id="rId21" display="mailto:katrina.soh@utoronto.ca" xr:uid="{00000000-0004-0000-0500-000014000000}"/>
    <hyperlink ref="K359" r:id="rId22" display="mailto:merle.casci@utoronto.ca" xr:uid="{00000000-0004-0000-0500-000015000000}"/>
    <hyperlink ref="K360" r:id="rId23" display="mailto:merle.casci@utoronto.ca" xr:uid="{00000000-0004-0000-0500-000016000000}"/>
    <hyperlink ref="K361" r:id="rId24" display="mailto:merle.casci@utoronto.ca" xr:uid="{00000000-0004-0000-0500-000017000000}"/>
    <hyperlink ref="K179" r:id="rId25" display="mailto:katrina.soh@utoronto.ca" xr:uid="{00000000-0004-0000-0500-000018000000}"/>
    <hyperlink ref="K204" r:id="rId26" display="mailto:christine.kreutzer@utoronto.ca" xr:uid="{00000000-0004-0000-0500-000019000000}"/>
    <hyperlink ref="K215" r:id="rId27" display="mailto:merle.casci@utoronto.ca" xr:uid="{00000000-0004-0000-0500-00001A000000}"/>
    <hyperlink ref="K15" r:id="rId28" display="mailto:christine.kreutzer@utoronto.ca" xr:uid="{00000000-0004-0000-0500-00001B000000}"/>
    <hyperlink ref="K198" r:id="rId29" xr:uid="{00000000-0004-0000-0500-00001C000000}"/>
    <hyperlink ref="K110" r:id="rId30" tooltip="arlene.smith@utoronto.ca" display="mailto:arlene.smith@utoronto.ca" xr:uid="{00000000-0004-0000-0500-00001D000000}"/>
    <hyperlink ref="K300" r:id="rId31" display="mailto:jessica.bailey@utoronto.ca" xr:uid="{00000000-0004-0000-0500-00001E000000}"/>
    <hyperlink ref="K348" r:id="rId32" display="mailto:katrina.soh@utoronto.ca" xr:uid="{00000000-0004-0000-0500-00001F000000}"/>
    <hyperlink ref="K349" r:id="rId33" display="mailto:katrina.soh@utoronto.ca" xr:uid="{00000000-0004-0000-0500-000020000000}"/>
    <hyperlink ref="K210" r:id="rId34" xr:uid="{00000000-0004-0000-0500-000021000000}"/>
    <hyperlink ref="K62" r:id="rId35" display="mailto:elizabeth.sutherland@utoronto.ca" xr:uid="{00000000-0004-0000-0500-000022000000}"/>
    <hyperlink ref="K63" r:id="rId36" display="mailto:elizabeth.sutherland@utoronto.ca" xr:uid="{00000000-0004-0000-0500-000023000000}"/>
    <hyperlink ref="K162" r:id="rId37" display="mailto:nelson.cabral@utoronto.ca" xr:uid="{00000000-0004-0000-0500-000024000000}"/>
    <hyperlink ref="K161" r:id="rId38" display="mailto:nelson.cabral@utoronto.ca" xr:uid="{00000000-0004-0000-0500-000025000000}"/>
    <hyperlink ref="K163" r:id="rId39" display="mailto:nelson.cabral@utoronto.ca" xr:uid="{00000000-0004-0000-0500-000026000000}"/>
    <hyperlink ref="K164" r:id="rId40" display="mailto:nelson.cabral@utoronto.ca" xr:uid="{00000000-0004-0000-0500-000027000000}"/>
    <hyperlink ref="K173" r:id="rId41" display="mailto:paula.smellie@utoronto.ca" xr:uid="{00000000-0004-0000-0500-000028000000}"/>
    <hyperlink ref="K174" r:id="rId42" display="mailto:paula.smellie@utoronto.ca" xr:uid="{00000000-0004-0000-0500-000029000000}"/>
    <hyperlink ref="K307" r:id="rId43" display="mailto:lynette.anderson@utoronto.ca" xr:uid="{00000000-0004-0000-0500-00002A000000}"/>
    <hyperlink ref="K308" r:id="rId44" display="mailto:lynette.anderson@utoronto.ca" xr:uid="{00000000-0004-0000-0500-00002B000000}"/>
    <hyperlink ref="K340" r:id="rId45" display="mailto:katrina.soh@utoronto.ca" xr:uid="{00000000-0004-0000-0500-00002C000000}"/>
    <hyperlink ref="K314" r:id="rId46" xr:uid="{00000000-0004-0000-0500-00002D000000}"/>
    <hyperlink ref="K217" r:id="rId47" xr:uid="{00000000-0004-0000-0500-00002E000000}"/>
    <hyperlink ref="K168" r:id="rId48" display="mailto:merle.casci@utoronto.ca" xr:uid="{00000000-0004-0000-0500-00002F000000}"/>
    <hyperlink ref="K156" r:id="rId49" display="mailto:christine.kreutzer@utoronto.ca" xr:uid="{00000000-0004-0000-0500-000030000000}"/>
    <hyperlink ref="K185" r:id="rId50" display="mailto:katrina.soh@utoronto.ca" xr:uid="{00000000-0004-0000-0500-000031000000}"/>
    <hyperlink ref="K33" r:id="rId51" display="mailto:angela.rosa@utoronto.ca" xr:uid="{00000000-0004-0000-0500-000032000000}"/>
    <hyperlink ref="K23" r:id="rId52" tooltip="arlene.smith@utoronto.ca" display="mailto:arlene.smith@utoronto.ca" xr:uid="{00000000-0004-0000-0500-000033000000}"/>
    <hyperlink ref="K24" r:id="rId53" tooltip="arlene.smith@utoronto.ca" display="mailto:arlene.smith@utoronto.ca" xr:uid="{00000000-0004-0000-0500-000034000000}"/>
    <hyperlink ref="K25" r:id="rId54" xr:uid="{00000000-0004-0000-0500-000035000000}"/>
    <hyperlink ref="K355" r:id="rId55" display="mailto:katrina.soh@utoronto.ca" xr:uid="{00000000-0004-0000-0500-000036000000}"/>
    <hyperlink ref="K211" r:id="rId56" display="mailto:angela.rosa@utoronto.ca" xr:uid="{00000000-0004-0000-0500-000037000000}"/>
    <hyperlink ref="K290" r:id="rId57" display="mailto:katrina.soh@utoronto.ca" xr:uid="{00000000-0004-0000-0500-000038000000}"/>
    <hyperlink ref="K291" r:id="rId58" display="mailto:katrina.soh@utoronto.ca" xr:uid="{00000000-0004-0000-0500-000039000000}"/>
    <hyperlink ref="K292" r:id="rId59" display="mailto:katrina.soh@utoronto.ca" xr:uid="{00000000-0004-0000-0500-00003A000000}"/>
    <hyperlink ref="K289" r:id="rId60" display="mailto:katrina.soh@utoronto.ca" xr:uid="{00000000-0004-0000-0500-00003B000000}"/>
    <hyperlink ref="K218" r:id="rId61" xr:uid="{00000000-0004-0000-0500-00003C000000}"/>
    <hyperlink ref="K83" r:id="rId62" display="mailto:djob@chem.utoronto.ca" xr:uid="{00000000-0004-0000-0500-00003D000000}"/>
    <hyperlink ref="K337" r:id="rId63" display="mailto:katrina.soh@utoronto.ca" xr:uid="{00000000-0004-0000-0500-00003E000000}"/>
    <hyperlink ref="K338" r:id="rId64" display="mailto:katrina.soh@utoronto.ca" xr:uid="{00000000-0004-0000-0500-00003F000000}"/>
    <hyperlink ref="K275" r:id="rId65" display="mailto:katrina.soh@utoronto.ca" xr:uid="{00000000-0004-0000-0500-000040000000}"/>
    <hyperlink ref="K37" r:id="rId66" xr:uid="{00000000-0004-0000-0500-000041000000}"/>
    <hyperlink ref="K36" r:id="rId67" display="mailto:angela.rosa@utoronto.ca" xr:uid="{00000000-0004-0000-0500-000042000000}"/>
    <hyperlink ref="B72" r:id="rId68" xr:uid="{00000000-0004-0000-0500-000043000000}"/>
    <hyperlink ref="B227" r:id="rId69" xr:uid="{00000000-0004-0000-0500-000044000000}"/>
    <hyperlink ref="K236" r:id="rId70" display="mailto:katrina.soh@utoronto.ca" xr:uid="{00000000-0004-0000-0500-000045000000}"/>
    <hyperlink ref="K237" r:id="rId71" display="mailto:katrina.soh@utoronto.ca" xr:uid="{00000000-0004-0000-0500-000046000000}"/>
    <hyperlink ref="B84" r:id="rId72" display="mailto:aaron.wheeler@utoronto.ca" xr:uid="{00000000-0004-0000-0500-000047000000}"/>
    <hyperlink ref="B82" r:id="rId73" display="mailto:aaron.wheeler@utoronto.ca" xr:uid="{00000000-0004-0000-0500-000048000000}"/>
    <hyperlink ref="B83" r:id="rId74" display="mailto:aaron.wheeler@utoronto.ca" xr:uid="{00000000-0004-0000-0500-000049000000}"/>
    <hyperlink ref="B85" r:id="rId75" display="mailto:aaron.wheeler@utoronto.ca" xr:uid="{00000000-0004-0000-0500-00004A000000}"/>
    <hyperlink ref="K35" r:id="rId76" display="mailto:angela.rosa@utoronto.ca" xr:uid="{00000000-0004-0000-0500-00004B000000}"/>
    <hyperlink ref="K38" r:id="rId77" display="mailto:angela.rosa@utoronto.ca" xr:uid="{00000000-0004-0000-0500-00004C000000}"/>
    <hyperlink ref="K58" r:id="rId78" display="mailto:angela.rosa@utoronto.ca" xr:uid="{00000000-0004-0000-0500-00004D000000}"/>
    <hyperlink ref="K59" r:id="rId79" display="mailto:angela.rosa@utoronto.ca" xr:uid="{00000000-0004-0000-0500-00004E000000}"/>
    <hyperlink ref="K282:K283" r:id="rId80" display="mailto:katrina.soh@utoronto.ca" xr:uid="{00000000-0004-0000-0500-00004F000000}"/>
    <hyperlink ref="K82" r:id="rId81" display="mailto:djob@chem.utoronto.ca" xr:uid="{00000000-0004-0000-0500-000050000000}"/>
    <hyperlink ref="K84" r:id="rId82" display="mailto:djob@chem.utoronto.ca" xr:uid="{00000000-0004-0000-0500-000051000000}"/>
    <hyperlink ref="K85" r:id="rId83" display="mailto:djob@chem.utoronto.ca" xr:uid="{00000000-0004-0000-0500-000052000000}"/>
    <hyperlink ref="K350" r:id="rId84" display="mailto:katrina.soh@utoronto.ca" xr:uid="{00000000-0004-0000-0500-000053000000}"/>
    <hyperlink ref="K347" r:id="rId85" display="mailto:katrina.soh@utoronto.ca" xr:uid="{00000000-0004-0000-0500-000054000000}"/>
    <hyperlink ref="K312" r:id="rId86" display="mailto:immunology.office@utoronto.ca" xr:uid="{00000000-0004-0000-0500-000055000000}"/>
    <hyperlink ref="K194" r:id="rId87" display="mailto:immunology.office@utoronto.ca" xr:uid="{00000000-0004-0000-0500-000056000000}"/>
    <hyperlink ref="K115" r:id="rId88" display="mailto:immunology.office@utoronto.ca" xr:uid="{00000000-0004-0000-0500-000057000000}"/>
    <hyperlink ref="K197" r:id="rId89" display="mailto:immunology.office@utoronto.ca" xr:uid="{00000000-0004-0000-0500-000058000000}"/>
    <hyperlink ref="K199" r:id="rId90" display="mailto:immunology.office@utoronto.ca" xr:uid="{00000000-0004-0000-0500-000059000000}"/>
    <hyperlink ref="K270:K271" r:id="rId91" display="mailto:nancy.calabrese@utoronto.ca" xr:uid="{00000000-0004-0000-0500-00005A000000}"/>
    <hyperlink ref="K19" r:id="rId92" display="mailto:nancy.calabrese@utoronto.ca" xr:uid="{00000000-0004-0000-0500-00005B000000}"/>
    <hyperlink ref="K166" r:id="rId93" display="mailto:nancy.calabrese@utoronto.ca" xr:uid="{00000000-0004-0000-0500-00005C000000}"/>
    <hyperlink ref="K167" r:id="rId94" display="mailto:nancy.calabrese@utoronto.ca" xr:uid="{00000000-0004-0000-0500-00005D000000}"/>
    <hyperlink ref="K371" r:id="rId95" display="mailto:nancy.calabrese@utoronto.ca" xr:uid="{00000000-0004-0000-0500-00005E000000}"/>
    <hyperlink ref="K377" r:id="rId96" display="mailto:nancy.calabrese@utoronto.ca" xr:uid="{00000000-0004-0000-0500-00005F000000}"/>
    <hyperlink ref="K54" r:id="rId97" display="mailto:nancy.calabrese@utoronto.ca" xr:uid="{00000000-0004-0000-0500-000060000000}"/>
    <hyperlink ref="K119:K120" r:id="rId98" display="mailto:nancy.calabrese@utoronto.ca" xr:uid="{00000000-0004-0000-0500-000061000000}"/>
    <hyperlink ref="K333" r:id="rId99" xr:uid="{00000000-0004-0000-0500-000062000000}"/>
    <hyperlink ref="K224" r:id="rId100" display="mailto:nancy.calabrese@utoronto.ca" xr:uid="{00000000-0004-0000-0500-000063000000}"/>
    <hyperlink ref="K119" r:id="rId101" display="mailto:angela.rosa@utoronto.ca" xr:uid="{00000000-0004-0000-0500-000064000000}"/>
    <hyperlink ref="K123" r:id="rId102" display="mailto:angela.rosa@utoronto.ca" xr:uid="{00000000-0004-0000-0500-000065000000}"/>
    <hyperlink ref="K302" r:id="rId103" display="mailto:katrina.soh@utoronto.ca" xr:uid="{00000000-0004-0000-0500-000066000000}"/>
    <hyperlink ref="K358" r:id="rId104" display="mailto:merle.casci@utoronto.ca" xr:uid="{00000000-0004-0000-0500-000067000000}"/>
    <hyperlink ref="K357" r:id="rId105" display="mailto:merle.casci@utoronto.ca" xr:uid="{00000000-0004-0000-0500-000068000000}"/>
    <hyperlink ref="K144" r:id="rId106" display="mailto:katrina.soh@utoronto.ca" xr:uid="{00000000-0004-0000-0500-000069000000}"/>
    <hyperlink ref="K178" r:id="rId107" display="mailto:katrina.soh@utoronto.ca" xr:uid="{00000000-0004-0000-0500-00006A000000}"/>
    <hyperlink ref="K180" r:id="rId108" display="mailto:katrina.soh@utoronto.ca" xr:uid="{00000000-0004-0000-0500-00006B000000}"/>
    <hyperlink ref="K41" r:id="rId109" display="mailto:nancy.calabrese@utoronto.ca" xr:uid="{00000000-0004-0000-0500-00006C000000}"/>
    <hyperlink ref="K42" r:id="rId110" display="mailto:nancy.calabrese@utoronto.ca" xr:uid="{00000000-0004-0000-0500-00006D000000}"/>
    <hyperlink ref="K368" r:id="rId111" display="mailto:katrina.soh@utoronto.ca" xr:uid="{00000000-0004-0000-0500-00006E000000}"/>
    <hyperlink ref="K201:K202" r:id="rId112" display="mailto:lynette.anderson@utoronto.ca" xr:uid="{00000000-0004-0000-0500-00006F000000}"/>
    <hyperlink ref="K184" r:id="rId113" display="anna.capizzano@sickkids.ca, " xr:uid="{00000000-0004-0000-0500-000070000000}"/>
    <hyperlink ref="K207:K208" r:id="rId114" display="anna.capizzano@sickkids.ca, " xr:uid="{00000000-0004-0000-0500-000071000000}"/>
    <hyperlink ref="K186" r:id="rId115" display="mailto:katrina.soh@utoronto.ca" xr:uid="{00000000-0004-0000-0500-000072000000}"/>
    <hyperlink ref="K233" r:id="rId116" display="mailto:lynette.anderson@utoronto.ca" xr:uid="{00000000-0004-0000-0500-000073000000}"/>
    <hyperlink ref="K22" r:id="rId117" tooltip="arlene.smith@utoronto.ca" display="mailto:arlene.smith@utoronto.ca" xr:uid="{00000000-0004-0000-0500-000074000000}"/>
    <hyperlink ref="K288" r:id="rId118" display="mailto:katrina.soh@utoronto.ca" xr:uid="{00000000-0004-0000-0500-000075000000}"/>
    <hyperlink ref="K192" r:id="rId119" xr:uid="{00000000-0004-0000-0500-000076000000}"/>
    <hyperlink ref="K171" r:id="rId120" xr:uid="{00000000-0004-0000-0500-000077000000}"/>
    <hyperlink ref="K172" r:id="rId121" xr:uid="{00000000-0004-0000-0500-000078000000}"/>
    <hyperlink ref="K175" r:id="rId122" display="mailto:paula.smellie@utoronto.ca" xr:uid="{00000000-0004-0000-0500-000079000000}"/>
    <hyperlink ref="K13" r:id="rId123" display="mailto:paula.smellie@utoronto.ca" xr:uid="{00000000-0004-0000-0500-00007A000000}"/>
    <hyperlink ref="K219" r:id="rId124" xr:uid="{00000000-0004-0000-0500-00007B000000}"/>
    <hyperlink ref="K32" r:id="rId125" display="mailto:angela.rosa@utoronto.ca" xr:uid="{00000000-0004-0000-0500-00007C000000}"/>
    <hyperlink ref="K180:K181" r:id="rId126" display="mailto:nelson.cabral@utoronto.ca" xr:uid="{00000000-0004-0000-0500-00007D000000}"/>
    <hyperlink ref="K176:K177" r:id="rId127" display="mailto:elizabeth.sutherland@utoronto.ca" xr:uid="{00000000-0004-0000-0500-00007E000000}"/>
    <hyperlink ref="K88" r:id="rId128" xr:uid="{00000000-0004-0000-0500-00007F000000}"/>
    <hyperlink ref="K243" r:id="rId129" display="mailto:katrina.soh@utoronto.ca" xr:uid="{00000000-0004-0000-0500-000080000000}"/>
    <hyperlink ref="K244" r:id="rId130" display="mailto:katrina.soh@utoronto.ca" xr:uid="{00000000-0004-0000-0500-000081000000}"/>
    <hyperlink ref="K346" r:id="rId131" display="mailto:merle.casci@utoronto.ca" xr:uid="{00000000-0004-0000-0500-000082000000}"/>
    <hyperlink ref="K117" r:id="rId132" display="mailto:angela.rosa@utoronto.ca" xr:uid="{00000000-0004-0000-0500-000083000000}"/>
    <hyperlink ref="K188" r:id="rId133" display="mailto:Ivan.Cheng@utoronto.ca" xr:uid="{00000000-0004-0000-0500-000084000000}"/>
    <hyperlink ref="K189" r:id="rId134" display="mailto:Ivan.Cheng@utoronto.ca" xr:uid="{00000000-0004-0000-0500-000085000000}"/>
    <hyperlink ref="K14" r:id="rId135" display="mailto:Ivan.Cheng@utoronto.ca" xr:uid="{00000000-0004-0000-0500-000086000000}"/>
    <hyperlink ref="K297" r:id="rId136" display="mailto:Ivan.Cheng@utoronto.ca" xr:uid="{00000000-0004-0000-0500-000087000000}"/>
    <hyperlink ref="K240" r:id="rId137" display="mailto:lynette.anderson@utoronto.ca" xr:uid="{00000000-0004-0000-0500-000088000000}"/>
    <hyperlink ref="K131:K132" r:id="rId138" display="mailto:lynette.anderson@utoronto.ca" xr:uid="{00000000-0004-0000-0500-000089000000}"/>
    <hyperlink ref="K205" r:id="rId139" display="mailto:christine.kreutzer@utoronto.ca" xr:uid="{00000000-0004-0000-0500-00008A000000}"/>
    <hyperlink ref="K323" r:id="rId140" display="mailto:merle.casci@utoronto.ca" xr:uid="{00000000-0004-0000-0500-00008B000000}"/>
    <hyperlink ref="K231" r:id="rId141" display="mailto:Ivan.Cheng@utoronto.ca" xr:uid="{00000000-0004-0000-0500-00008C000000}"/>
    <hyperlink ref="K155" r:id="rId142" display="mailto:christine.kreutzer@utoronto.ca" xr:uid="{00000000-0004-0000-0500-00008D000000}"/>
    <hyperlink ref="K154" r:id="rId143" xr:uid="{00000000-0004-0000-0500-00008E000000}"/>
    <hyperlink ref="K247" r:id="rId144" display="anna.capizzano@sickkids.ca, " xr:uid="{00000000-0004-0000-0500-00008F000000}"/>
    <hyperlink ref="K306" r:id="rId145" xr:uid="{00000000-0004-0000-0500-000090000000}"/>
    <hyperlink ref="K57" r:id="rId146" display="mailto:djob@chem.utoronto.ca" xr:uid="{00000000-0004-0000-0500-000091000000}"/>
    <hyperlink ref="K229" r:id="rId147" display="mailto:elizabeth.sutherland@utoronto.ca" xr:uid="{00000000-0004-0000-0500-000092000000}"/>
    <hyperlink ref="K134" r:id="rId148" xr:uid="{00000000-0004-0000-0500-000093000000}"/>
    <hyperlink ref="K121" r:id="rId149" xr:uid="{00000000-0004-0000-0500-000094000000}"/>
    <hyperlink ref="K106" r:id="rId150" display="mailto:jessica.bailey@utoronto.ca" xr:uid="{00000000-0004-0000-0500-000095000000}"/>
    <hyperlink ref="B247" r:id="rId151" xr:uid="{00000000-0004-0000-0500-000096000000}"/>
    <hyperlink ref="B106" r:id="rId152" display="mailto:patrick.gunning@utoronto.ca" xr:uid="{00000000-0004-0000-0500-000097000000}"/>
    <hyperlink ref="B297" r:id="rId153" display="mailto:Leong-poiH@smh.ca" xr:uid="{00000000-0004-0000-0500-000098000000}"/>
    <hyperlink ref="B377" r:id="rId154" display="mailto:nir.lipsman@utoronto.ca" xr:uid="{00000000-0004-0000-0500-000099000000}"/>
    <hyperlink ref="B306" r:id="rId155" display="mailto:jan.robertson@utoronto.ca" xr:uid="{00000000-0004-0000-0500-00009A000000}"/>
    <hyperlink ref="B226" r:id="rId156" xr:uid="{00000000-0004-0000-0500-00009B000000}"/>
    <hyperlink ref="B248" r:id="rId157" xr:uid="{00000000-0004-0000-0500-00009C000000}"/>
    <hyperlink ref="K248" r:id="rId158" display="mailto:immunology.office@utoronto.ca" xr:uid="{00000000-0004-0000-0500-00009D000000}"/>
    <hyperlink ref="K108" r:id="rId159" display="mailto:elisabete@mie.utoronto.ca" xr:uid="{00000000-0004-0000-0500-00009E000000}"/>
    <hyperlink ref="K133" r:id="rId160" display="mailto:elisabete@mie.utoronto.ca" xr:uid="{00000000-0004-0000-0500-00009F000000}"/>
    <hyperlink ref="K77:K78" r:id="rId161" display="mailto:elisabete@mie.utoronto.ca" xr:uid="{00000000-0004-0000-0500-0000A0000000}"/>
    <hyperlink ref="K366" r:id="rId162" display="mailto:elisabete@mie.utoronto.ca" xr:uid="{00000000-0004-0000-0500-0000A1000000}"/>
    <hyperlink ref="K305" r:id="rId163" display="mailto:Ivan.Cheng@utoronto.ca" xr:uid="{00000000-0004-0000-0500-0000A2000000}"/>
    <hyperlink ref="K256" r:id="rId164" display="mailto:katrina.soh@utoronto.ca" xr:uid="{00000000-0004-0000-0500-0000A3000000}"/>
    <hyperlink ref="K5" r:id="rId165" display="mailto:angela.rosa@utoronto.ca" xr:uid="{00000000-0004-0000-0500-0000A4000000}"/>
    <hyperlink ref="B6" r:id="rId166" xr:uid="{00000000-0004-0000-0500-0000A5000000}"/>
    <hyperlink ref="K6" r:id="rId167" display="mailto:angela.rosa@utoronto.ca" xr:uid="{00000000-0004-0000-0500-0000A6000000}"/>
    <hyperlink ref="B256" r:id="rId168" xr:uid="{00000000-0004-0000-0500-0000A7000000}"/>
    <hyperlink ref="K262" r:id="rId169" display="mailto:nancy.calabrese@utoronto.ca" xr:uid="{00000000-0004-0000-0500-0000A8000000}"/>
    <hyperlink ref="B278" r:id="rId170" xr:uid="{00000000-0004-0000-0500-0000A9000000}"/>
    <hyperlink ref="B333" r:id="rId171" xr:uid="{00000000-0004-0000-0500-0000AA000000}"/>
    <hyperlink ref="B146" r:id="rId172" xr:uid="{00000000-0004-0000-0500-0000AB000000}"/>
    <hyperlink ref="B342" r:id="rId173" xr:uid="{00000000-0004-0000-0500-0000AC000000}"/>
    <hyperlink ref="B122" r:id="rId174" xr:uid="{00000000-0004-0000-0500-0000AD000000}"/>
    <hyperlink ref="B62" r:id="rId175" xr:uid="{00000000-0004-0000-0500-0000AE000000}"/>
    <hyperlink ref="B140" r:id="rId176" xr:uid="{00000000-0004-0000-0500-0000AF000000}"/>
    <hyperlink ref="K258" r:id="rId177" display="mailto:angela.rosa@utoronto.ca" xr:uid="{00000000-0004-0000-0500-0000B0000000}"/>
    <hyperlink ref="K124" r:id="rId178" display="mailto:angela.rosa@utoronto.ca" xr:uid="{00000000-0004-0000-0500-0000B1000000}"/>
    <hyperlink ref="K8" r:id="rId179" xr:uid="{00000000-0004-0000-0500-0000B2000000}"/>
    <hyperlink ref="K17" r:id="rId180" xr:uid="{00000000-0004-0000-0500-0000B3000000}"/>
    <hyperlink ref="B17" r:id="rId181" xr:uid="{00000000-0004-0000-0500-0000B4000000}"/>
    <hyperlink ref="B249" r:id="rId182" xr:uid="{00000000-0004-0000-0500-0000B5000000}"/>
    <hyperlink ref="K249" r:id="rId183" display="mailto:immunology.office@utoronto.ca" xr:uid="{00000000-0004-0000-0500-0000B6000000}"/>
    <hyperlink ref="B258" r:id="rId184" xr:uid="{00000000-0004-0000-0500-0000B7000000}"/>
    <hyperlink ref="B334" r:id="rId185" xr:uid="{00000000-0004-0000-0500-0000B8000000}"/>
    <hyperlink ref="K334" r:id="rId186" xr:uid="{00000000-0004-0000-0500-0000B9000000}"/>
    <hyperlink ref="K181" r:id="rId187" display="mailto:katrina.soh@utoronto.ca" xr:uid="{00000000-0004-0000-0500-0000BA000000}"/>
    <hyperlink ref="K89" r:id="rId188" xr:uid="{00000000-0004-0000-0500-0000BB000000}"/>
    <hyperlink ref="B147" r:id="rId189" xr:uid="{00000000-0004-0000-0500-0000BC000000}"/>
    <hyperlink ref="K187" r:id="rId190" display="mailto:katrina.soh@utoronto.ca" xr:uid="{00000000-0004-0000-0500-0000BD000000}"/>
    <hyperlink ref="B343" r:id="rId191" xr:uid="{00000000-0004-0000-0500-0000BE000000}"/>
    <hyperlink ref="B141" r:id="rId192" xr:uid="{00000000-0004-0000-0500-0000BF000000}"/>
    <hyperlink ref="B295" r:id="rId193" xr:uid="{00000000-0004-0000-0500-0000C0000000}"/>
    <hyperlink ref="K150" r:id="rId194" xr:uid="{00000000-0004-0000-0500-0000C1000000}"/>
    <hyperlink ref="B20" r:id="rId195" xr:uid="{00000000-0004-0000-0500-0000C2000000}"/>
    <hyperlink ref="K96" r:id="rId196" xr:uid="{00000000-0004-0000-0500-0000C3000000}"/>
    <hyperlink ref="K97" r:id="rId197" xr:uid="{00000000-0004-0000-0500-0000C4000000}"/>
    <hyperlink ref="K123:K126" r:id="rId198" display="finance.phm@utoronto.ca" xr:uid="{00000000-0004-0000-0500-0000C5000000}"/>
    <hyperlink ref="K60" r:id="rId199" display="mailto:angela.rosa@utoronto.ca" xr:uid="{00000000-0004-0000-0500-0000C6000000}"/>
    <hyperlink ref="B128" r:id="rId200" xr:uid="{00000000-0004-0000-0500-0000C7000000}"/>
    <hyperlink ref="B259" r:id="rId201" xr:uid="{00000000-0004-0000-0500-0000C8000000}"/>
    <hyperlink ref="K259" r:id="rId202" display="mailto:angela.rosa@utoronto.ca" xr:uid="{00000000-0004-0000-0500-0000C9000000}"/>
    <hyperlink ref="K251" r:id="rId203" display="mailto:angela.rosa@utoronto.ca" xr:uid="{00000000-0004-0000-0500-0000CA000000}"/>
    <hyperlink ref="B150" r:id="rId204" display="mailto:robert.hamilton@sickkids.ca" xr:uid="{00000000-0004-0000-0500-0000CB000000}"/>
    <hyperlink ref="K98" r:id="rId205" xr:uid="{00000000-0004-0000-0500-0000CC000000}"/>
    <hyperlink ref="K319" r:id="rId206" display="mailto:angelika.kocan@utoronto.ca" xr:uid="{00000000-0004-0000-0500-0000CD000000}"/>
    <hyperlink ref="B279" r:id="rId207" xr:uid="{00000000-0004-0000-0500-0000CE000000}"/>
    <hyperlink ref="K279" r:id="rId208" display="mailto:konstantin@mie.utoronto.ca" xr:uid="{00000000-0004-0000-0500-0000CF000000}"/>
    <hyperlink ref="K137" r:id="rId209" display="mailto:angela.rosa@utoronto.ca" xr:uid="{00000000-0004-0000-0500-0000D0000000}"/>
    <hyperlink ref="K190" r:id="rId210" display="mailto:Ivan.Cheng@utoronto.ca" xr:uid="{00000000-0004-0000-0500-0000D1000000}"/>
    <hyperlink ref="K370" r:id="rId211" display="mailto:elisabete@mie.utoronto.ca" xr:uid="{00000000-0004-0000-0500-0000D2000000}"/>
    <hyperlink ref="K125" r:id="rId212" display="mailto:angela.rosa@utoronto.ca" xr:uid="{00000000-0004-0000-0500-0000D3000000}"/>
    <hyperlink ref="K130" r:id="rId213" xr:uid="{00000000-0004-0000-0500-0000D4000000}"/>
    <hyperlink ref="K299" r:id="rId214" display="mailto:lynette.anderson@utoronto.ca" xr:uid="{00000000-0004-0000-0500-0000D5000000}"/>
    <hyperlink ref="K362" r:id="rId215" display="mailto:merle.casci@utoronto.ca" xr:uid="{00000000-0004-0000-0500-0000D6000000}"/>
    <hyperlink ref="K206" r:id="rId216" xr:uid="{00000000-0004-0000-0500-0000D7000000}"/>
    <hyperlink ref="K245" r:id="rId217" display="mailto:katrina.soh@utoronto.ca" xr:uid="{00000000-0004-0000-0500-0000D8000000}"/>
    <hyperlink ref="K111" r:id="rId218" tooltip="arlene.smith@utoronto.ca" display="mailto:arlene.smith@utoronto.ca" xr:uid="{00000000-0004-0000-0500-0000D9000000}"/>
    <hyperlink ref="K112" r:id="rId219" tooltip="arlene.smith@utoronto.ca" display="mailto:arlene.smith@utoronto.ca" xr:uid="{00000000-0004-0000-0500-0000DA000000}"/>
    <hyperlink ref="K351" r:id="rId220" display="mailto:katrina.soh@utoronto.ca" xr:uid="{00000000-0004-0000-0500-0000DB000000}"/>
    <hyperlink ref="B148" r:id="rId221" xr:uid="{00000000-0004-0000-0500-0000DC000000}"/>
    <hyperlink ref="K157" r:id="rId222" display="mailto:nancy.calabrese@utoronto.ca" xr:uid="{00000000-0004-0000-0500-0000DD000000}"/>
    <hyperlink ref="K234" r:id="rId223" display="mailto:lynette.anderson@utoronto.ca" xr:uid="{00000000-0004-0000-0500-0000DE000000}"/>
    <hyperlink ref="K26" r:id="rId224" xr:uid="{00000000-0004-0000-0500-0000DF000000}"/>
    <hyperlink ref="B344" r:id="rId225" xr:uid="{00000000-0004-0000-0500-0000E0000000}"/>
    <hyperlink ref="K293" r:id="rId226" display="mailto:katrina.soh@utoronto.ca" xr:uid="{00000000-0004-0000-0500-0000E1000000}"/>
    <hyperlink ref="K220" r:id="rId227" xr:uid="{00000000-0004-0000-0500-0000E2000000}"/>
    <hyperlink ref="B86" r:id="rId228" display="mailto:aaron.wheeler@utoronto.ca" xr:uid="{00000000-0004-0000-0500-0000E3000000}"/>
    <hyperlink ref="K86" r:id="rId229" display="mailto:djob@chem.utoronto.ca" xr:uid="{00000000-0004-0000-0500-0000E4000000}"/>
    <hyperlink ref="K61" r:id="rId230" display="mailto:angela.rosa@utoronto.ca" xr:uid="{00000000-0004-0000-0500-0000E5000000}"/>
    <hyperlink ref="K152" r:id="rId231" display="mailto:lynette.anderson@utoronto.ca" xr:uid="{00000000-0004-0000-0500-0000E6000000}"/>
    <hyperlink ref="K363" r:id="rId232" display="mailto:merle.casci@utoronto.ca" xr:uid="{00000000-0004-0000-0500-0000E7000000}"/>
    <hyperlink ref="K372" r:id="rId233" display="mailto:nancy.calabrese@utoronto.ca" xr:uid="{00000000-0004-0000-0500-0000E8000000}"/>
    <hyperlink ref="K27" r:id="rId234" xr:uid="{00000000-0004-0000-0500-0000E9000000}"/>
    <hyperlink ref="K287" r:id="rId235" xr:uid="{00000000-0004-0000-0500-0000EA000000}"/>
    <hyperlink ref="B264" r:id="rId236" display="mailto:nilesh.ghugre@utoronto.ca" xr:uid="{00000000-0004-0000-0500-0000EB000000}"/>
    <hyperlink ref="B152" r:id="rId237" xr:uid="{00000000-0004-0000-0500-0000EC000000}"/>
    <hyperlink ref="B238" r:id="rId238" xr:uid="{00000000-0004-0000-0500-0000ED000000}"/>
    <hyperlink ref="K264" r:id="rId239" display="mailto:merle.casci@utoronto.ca" xr:uid="{00000000-0004-0000-0500-0000EE000000}"/>
    <hyperlink ref="K90" r:id="rId240" xr:uid="{00000000-0004-0000-0500-0000EF000000}"/>
    <hyperlink ref="K294" r:id="rId241" xr:uid="{00000000-0004-0000-0500-0000F0000000}"/>
    <hyperlink ref="K238" r:id="rId242" display="mailto:nancy.calabrese@utoronto.ca" xr:uid="{00000000-0004-0000-0500-0000F1000000}"/>
    <hyperlink ref="K378" r:id="rId243" display="mailto:katrina.soh@utoronto.ca" xr:uid="{00000000-0004-0000-0500-0000F2000000}"/>
    <hyperlink ref="K34" r:id="rId244" display="mailto:angela.rosa@utoronto.ca" xr:uid="{00000000-0004-0000-0500-0000F3000000}"/>
    <hyperlink ref="K92" r:id="rId245" display="mailto:elisabete@mie.utoronto.ca" xr:uid="{00000000-0004-0000-0500-0000F4000000}"/>
    <hyperlink ref="K263" r:id="rId246" xr:uid="{00000000-0004-0000-0500-0000F5000000}"/>
    <hyperlink ref="B263" r:id="rId247" xr:uid="{00000000-0004-0000-0500-0000F6000000}"/>
    <hyperlink ref="K109" r:id="rId248" display="mailto:elisabete@mie.utoronto.ca" xr:uid="{00000000-0004-0000-0500-0000F7000000}"/>
    <hyperlink ref="K193" r:id="rId249" xr:uid="{00000000-0004-0000-0500-0000F8000000}"/>
    <hyperlink ref="B266" r:id="rId250" xr:uid="{00000000-0004-0000-0500-0000F9000000}"/>
    <hyperlink ref="K266" r:id="rId251" display="mailto:Ivan.Cheng@utoronto.ca" xr:uid="{00000000-0004-0000-0500-0000FA000000}"/>
    <hyperlink ref="K225" r:id="rId252" display="mailto:nancy.calabrese@utoronto.ca" xr:uid="{00000000-0004-0000-0500-0000FB000000}"/>
    <hyperlink ref="B303" r:id="rId253" xr:uid="{00000000-0004-0000-0500-0000FC000000}"/>
    <hyperlink ref="K303" r:id="rId254" xr:uid="{00000000-0004-0000-0500-0000FD000000}"/>
    <hyperlink ref="K191" r:id="rId255" display="mailto:Ivan.Cheng@utoronto.ca" xr:uid="{00000000-0004-0000-0500-0000FE000000}"/>
    <hyperlink ref="K55" r:id="rId256" display="mailto:nancy.calabrese@utoronto.ca" xr:uid="{00000000-0004-0000-0500-0000FF000000}"/>
    <hyperlink ref="K216" r:id="rId257" display="mailto:elizabeth.sutherland@utoronto.ca" xr:uid="{00000000-0004-0000-0500-000000010000}"/>
    <hyperlink ref="K341" r:id="rId258" display="mailto:katrina.soh@utoronto.ca" xr:uid="{00000000-0004-0000-0500-000001010000}"/>
    <hyperlink ref="B321" r:id="rId259" xr:uid="{00000000-0004-0000-0500-000002010000}"/>
    <hyperlink ref="B109" r:id="rId260" xr:uid="{00000000-0004-0000-0500-000003010000}"/>
    <hyperlink ref="K320" r:id="rId261" display="mailto:angelika.kocan@utoronto.ca" xr:uid="{00000000-0004-0000-0500-000004010000}"/>
    <hyperlink ref="K321" r:id="rId262" display="mailto:angelika.kocan@utoronto.ca" xr:uid="{00000000-0004-0000-0500-000005010000}"/>
    <hyperlink ref="K103" r:id="rId263" display="mailto:angelika.kocan@utoronto.ca" xr:uid="{00000000-0004-0000-0500-000006010000}"/>
    <hyperlink ref="K343" r:id="rId264" display="mailto:angelika.kocan@utoronto.ca" xr:uid="{00000000-0004-0000-0500-000007010000}"/>
    <hyperlink ref="K344" r:id="rId265" display="mailto:angelika.kocan@utoronto.ca" xr:uid="{00000000-0004-0000-0500-000008010000}"/>
    <hyperlink ref="K141" r:id="rId266" display="mailto:angelika.kocan@utoronto.ca" xr:uid="{00000000-0004-0000-0500-000009010000}"/>
    <hyperlink ref="K140" r:id="rId267" display="mailto:angelika.kocan@utoronto.ca" xr:uid="{00000000-0004-0000-0500-00000A010000}"/>
    <hyperlink ref="B280" r:id="rId268" xr:uid="{00000000-0004-0000-0500-00000B010000}"/>
    <hyperlink ref="K284" r:id="rId269" display="mailto:lynette.anderson@utoronto.ca" xr:uid="{00000000-0004-0000-0500-00000D010000}"/>
    <hyperlink ref="K131" r:id="rId270" xr:uid="{00000000-0004-0000-0500-00000E010000}"/>
    <hyperlink ref="K212" r:id="rId271" display="mailto:angela.rosa@utoronto.ca" xr:uid="{00000000-0004-0000-0500-00000F010000}"/>
    <hyperlink ref="K176" r:id="rId272" display="mailto:paula.smellie@utoronto.ca" xr:uid="{00000000-0004-0000-0500-000010010000}"/>
    <hyperlink ref="K165" r:id="rId273" display="mailto:nelson.cabral@utoronto.ca" xr:uid="{00000000-0004-0000-0500-000011010000}"/>
    <hyperlink ref="K200" r:id="rId274" display="mailto:immunology.office@utoronto.ca" xr:uid="{00000000-0004-0000-0500-000012010000}"/>
    <hyperlink ref="K285" r:id="rId275" display="mailto:lynette.anderson@utoronto.ca" xr:uid="{00000000-0004-0000-0500-000013010000}"/>
    <hyperlink ref="B92" r:id="rId276" xr:uid="{00000000-0004-0000-0500-000014010000}"/>
    <hyperlink ref="K267" r:id="rId277" display="mailto:christine.kreutzer@utoronto.ca" xr:uid="{00000000-0004-0000-0500-000015010000}"/>
    <hyperlink ref="B267" r:id="rId278" xr:uid="{00000000-0004-0000-0500-000016010000}"/>
    <hyperlink ref="B7" r:id="rId279" xr:uid="{00000000-0004-0000-0500-000017010000}"/>
    <hyperlink ref="B270" r:id="rId280" xr:uid="{00000000-0004-0000-0500-000018010000}"/>
    <hyperlink ref="K113" r:id="rId281" tooltip="arlene.smith@utoronto.ca" display="mailto:arlene.smith@utoronto.ca" xr:uid="{00000000-0004-0000-0500-000019010000}"/>
    <hyperlink ref="K335" r:id="rId282" xr:uid="{00000000-0004-0000-0500-00001A010000}"/>
    <hyperlink ref="B335" r:id="rId283" xr:uid="{00000000-0004-0000-0500-00001B010000}"/>
    <hyperlink ref="K271" r:id="rId284" xr:uid="{00000000-0004-0000-0500-00001C010000}"/>
    <hyperlink ref="B273" r:id="rId285" display="mailto:agostino.pierro@sickkids.ca" xr:uid="{00000000-0004-0000-0500-00001D010000}"/>
    <hyperlink ref="K273" r:id="rId286" display="mailto:nancy.calabrese@utoronto.ca" xr:uid="{00000000-0004-0000-0500-00001E010000}"/>
    <hyperlink ref="B16" r:id="rId287" display="mailto:philip.sherman@sickkids.ca" xr:uid="{00000000-0004-0000-0500-00001F010000}"/>
    <hyperlink ref="B242" r:id="rId288" xr:uid="{00000000-0004-0000-0500-000020010000}"/>
    <hyperlink ref="K242" r:id="rId289" display="mailto:katrina.soh@utoronto.ca" xr:uid="{00000000-0004-0000-0500-000021010000}"/>
    <hyperlink ref="B126" r:id="rId290" xr:uid="{00000000-0004-0000-0500-000022010000}"/>
    <hyperlink ref="K126" r:id="rId291" display="mailto:angela.rosa@utoronto.ca" xr:uid="{00000000-0004-0000-0500-000023010000}"/>
    <hyperlink ref="B272" r:id="rId292" xr:uid="{00000000-0004-0000-0500-000024010000}"/>
    <hyperlink ref="B252" r:id="rId293" xr:uid="{00000000-0004-0000-0500-000025010000}"/>
    <hyperlink ref="K252" r:id="rId294" display="mailto:angela.rosa@utoronto.ca" xr:uid="{00000000-0004-0000-0500-000026010000}"/>
    <hyperlink ref="B153" r:id="rId295" xr:uid="{00000000-0004-0000-0500-000027010000}"/>
    <hyperlink ref="K153" r:id="rId296" display="mailto:lynette.anderson@utoronto.ca" xr:uid="{00000000-0004-0000-0500-000028010000}"/>
    <hyperlink ref="K260" r:id="rId297" display="mailto:angela.rosa@utoronto.ca" xr:uid="{00000000-0004-0000-0500-000029010000}"/>
    <hyperlink ref="B203" r:id="rId298" xr:uid="{00000000-0004-0000-0500-00002A010000}"/>
    <hyperlink ref="B105" r:id="rId299" xr:uid="{00000000-0004-0000-0500-00002B010000}"/>
    <hyperlink ref="K16" r:id="rId300" display="anna.capizzano@sickkids.ca, " xr:uid="{00000000-0004-0000-0500-00002C010000}"/>
    <hyperlink ref="K203" r:id="rId301" xr:uid="{00000000-0004-0000-0500-00002D010000}"/>
    <hyperlink ref="K365" r:id="rId302" display="mailto:angela.rosa@utoronto.ca" xr:uid="{00000000-0004-0000-0500-00002E010000}"/>
    <hyperlink ref="K356" r:id="rId303" display="mailto:katrina.soh@utoronto.ca" xr:uid="{00000000-0004-0000-0500-00002F010000}"/>
    <hyperlink ref="K40" r:id="rId304" display="mailto:khosrow.adeli@sickkids.ca" xr:uid="{00000000-0004-0000-0500-000030010000}"/>
    <hyperlink ref="K230" r:id="rId305" display="mailto:anatomy@utoronto.ca" xr:uid="{00000000-0004-0000-0500-000031010000}"/>
    <hyperlink ref="K68" r:id="rId306" display="mailto:anatomy@utoronto.ca" xr:uid="{00000000-0004-0000-0500-000032010000}"/>
    <hyperlink ref="K77" r:id="rId307" xr:uid="{00000000-0004-0000-0500-000033010000}"/>
    <hyperlink ref="B12" r:id="rId308" xr:uid="{00000000-0004-0000-0500-000034010000}"/>
    <hyperlink ref="B116" r:id="rId309" xr:uid="{00000000-0004-0000-0500-000035010000}"/>
    <hyperlink ref="B253" r:id="rId310" xr:uid="{00000000-0004-0000-0500-000036010000}"/>
    <hyperlink ref="K253" r:id="rId311" display="mailto:angela.rosa@utoronto.ca" xr:uid="{00000000-0004-0000-0500-000037010000}"/>
    <hyperlink ref="K207" r:id="rId312" xr:uid="{00000000-0004-0000-0500-000038010000}"/>
    <hyperlink ref="B380" r:id="rId313" xr:uid="{00000000-0004-0000-0500-000039010000}"/>
    <hyperlink ref="B379" r:id="rId314" xr:uid="{00000000-0004-0000-0500-00003A010000}"/>
    <hyperlink ref="B317" r:id="rId315" xr:uid="{00000000-0004-0000-0500-00003B010000}"/>
    <hyperlink ref="K304" r:id="rId316" display="mailto:katrina.soh@utoronto.ca" xr:uid="{00000000-0004-0000-0500-00003C010000}"/>
    <hyperlink ref="B381" r:id="rId317" xr:uid="{00000000-0004-0000-0500-00003D010000}"/>
    <hyperlink ref="K381" r:id="rId318" xr:uid="{00000000-0004-0000-0500-00003E010000}"/>
    <hyperlink ref="B254" r:id="rId319" xr:uid="{00000000-0004-0000-0500-00003F010000}"/>
    <hyperlink ref="K254" r:id="rId320" display="mailto:angela.rosa@utoronto.ca" xr:uid="{00000000-0004-0000-0500-000040010000}"/>
    <hyperlink ref="B257" r:id="rId321" xr:uid="{00000000-0004-0000-0500-000041010000}"/>
    <hyperlink ref="K257" r:id="rId322" display="mailto:katrina.soh@utoronto.ca" xr:uid="{00000000-0004-0000-0500-000042010000}"/>
    <hyperlink ref="K208" r:id="rId323" display="mailto:christine.kreutzer@utoronto.ca" xr:uid="{00000000-0004-0000-0500-000043010000}"/>
    <hyperlink ref="K246" r:id="rId324" display="mailto:katrina.soh@utoronto.ca" xr:uid="{00000000-0004-0000-0500-000044010000}"/>
    <hyperlink ref="K268" r:id="rId325" display="mailto:christine.kreutzer@utoronto.ca" xr:uid="{00000000-0004-0000-0500-000045010000}"/>
    <hyperlink ref="B268" r:id="rId326" xr:uid="{00000000-0004-0000-0500-000046010000}"/>
    <hyperlink ref="B281" r:id="rId327" xr:uid="{00000000-0004-0000-0500-000047010000}"/>
    <hyperlink ref="K281" r:id="rId328" display="mailto:christine.kreutzer@utoronto.ca" xr:uid="{00000000-0004-0000-0500-000048010000}"/>
    <hyperlink ref="K177" r:id="rId329" display="mailto:paula.smellie@utoronto.ca" xr:uid="{00000000-0004-0000-0500-000049010000}"/>
    <hyperlink ref="B382" r:id="rId330" xr:uid="{00000000-0004-0000-0500-00004A010000}"/>
    <hyperlink ref="K382" r:id="rId331" display="finance.phm@utoronto.ca" xr:uid="{00000000-0004-0000-0500-00004B010000}"/>
    <hyperlink ref="K270" r:id="rId332" xr:uid="{00000000-0004-0000-0500-00004C010000}"/>
    <hyperlink ref="K7" r:id="rId333" xr:uid="{00000000-0004-0000-0500-00004D010000}"/>
    <hyperlink ref="K114" r:id="rId334" tooltip="arlene.smith@utoronto.ca" display="mailto:arlene.smith@utoronto.ca" xr:uid="{00000000-0004-0000-0500-00004E010000}"/>
    <hyperlink ref="B383" r:id="rId335" xr:uid="{00000000-0004-0000-0500-00004F010000}"/>
    <hyperlink ref="B322" r:id="rId336" xr:uid="{00000000-0004-0000-0500-000050010000}"/>
    <hyperlink ref="K322" r:id="rId337" display="mailto:angelika.kocan@utoronto.ca" xr:uid="{00000000-0004-0000-0500-000051010000}"/>
    <hyperlink ref="K255" r:id="rId338" display="mailto:angela.rosa@utoronto.ca" xr:uid="{00000000-0004-0000-0500-000052010000}"/>
    <hyperlink ref="B21" r:id="rId339" xr:uid="{00000000-0004-0000-0500-000053010000}"/>
    <hyperlink ref="K21" r:id="rId340" display="mailto:djob@chem.utoronto.ca" xr:uid="{00000000-0004-0000-0500-000054010000}"/>
    <hyperlink ref="B261" r:id="rId341" xr:uid="{00000000-0004-0000-0500-000055010000}"/>
    <hyperlink ref="K261" r:id="rId342" display="mailto:angela.rosa@utoronto.ca" xr:uid="{00000000-0004-0000-0500-000056010000}"/>
    <hyperlink ref="K336" r:id="rId343" xr:uid="{00000000-0004-0000-0500-000059010000}"/>
    <hyperlink ref="B336" r:id="rId344" xr:uid="{00000000-0004-0000-0500-00005A010000}"/>
    <hyperlink ref="K132" r:id="rId345" xr:uid="{00000000-0004-0000-0500-00005B010000}"/>
    <hyperlink ref="B139" r:id="rId346" xr:uid="{00000000-0004-0000-0500-00005C010000}"/>
    <hyperlink ref="K376" r:id="rId347" xr:uid="{00000000-0004-0000-0500-00005D010000}"/>
    <hyperlink ref="K235" r:id="rId348" display="mailto:lynette.anderson@utoronto.ca" xr:uid="{BD949DAA-BC3A-47CB-81C8-979E7C504218}"/>
    <hyperlink ref="K138" r:id="rId349" display="mailto:angela.rosa@utoronto.ca" xr:uid="{8E3506D0-5566-4502-85DF-C4E7B5EE0ABB}"/>
    <hyperlink ref="K209" r:id="rId350" display="mailto:christine.kreutzer@utoronto.ca" xr:uid="{B78DE0FB-0EDF-44BB-95FB-7DB79070306F}"/>
    <hyperlink ref="B18" r:id="rId351" xr:uid="{752154B7-3D53-434D-A5E0-2F6724696504}"/>
    <hyperlink ref="K18" r:id="rId352" display="mailto:nancy.calabrese@utoronto.ca" xr:uid="{D2D77637-52F1-42E0-8A72-E0F5812C55C4}"/>
    <hyperlink ref="B269" r:id="rId353" xr:uid="{7003F2EC-EE31-454E-BA0F-B14FDEA41B99}"/>
    <hyperlink ref="K269" r:id="rId354" display="mailto:christine.kreutzer@utoronto.ca" xr:uid="{1A9C320B-C504-4980-83A8-B56093D5AE9F}"/>
    <hyperlink ref="K364" r:id="rId355" display="mailto:merle.casci@utoronto.ca" xr:uid="{AAB74C25-2C90-4329-B376-8A872A8112C6}"/>
    <hyperlink ref="K373" r:id="rId356" display="mailto:nancy.calabrese@utoronto.ca" xr:uid="{8C508EE0-AE7D-46CE-BCB9-E0C36D20BCDF}"/>
    <hyperlink ref="B239" r:id="rId357" xr:uid="{81B744DB-B243-473F-A6CE-89D938450A4D}"/>
    <hyperlink ref="K239" r:id="rId358" display="mailto:nancy.calabrese@utoronto.ca" xr:uid="{0B581488-DCF0-4183-9C1D-5DC0173AFDB0}"/>
    <hyperlink ref="K69" r:id="rId359" xr:uid="{24DA89EA-AF89-42F1-BA25-F52DDB535CA4}"/>
    <hyperlink ref="K56" r:id="rId360" display="mailto:nancy.calabrese@utoronto.ca" xr:uid="{90CE9FAA-D642-4D93-BA35-E0BD754D9C18}"/>
    <hyperlink ref="K43" r:id="rId361" display="mailto:nancy.calabrese@utoronto.ca" xr:uid="{17C8A284-F816-4B7B-82A3-5BF33F550244}"/>
    <hyperlink ref="K107" r:id="rId362" display="mailto:jessica.bailey@utoronto.ca" xr:uid="{E28F9BE9-8705-4CDD-83E7-472883F55B35}"/>
    <hyperlink ref="B107" r:id="rId363" display="mailto:patrick.gunning@utoronto.ca" xr:uid="{42CDB45F-548E-4A67-8CAC-5705B35B8372}"/>
    <hyperlink ref="B145" r:id="rId364" xr:uid="{2CA57F08-AD8C-43D5-BF79-1E438B9FBBFD}"/>
    <hyperlink ref="B378" r:id="rId365" xr:uid="{5D65E19B-1D42-4795-B650-87B14944AA73}"/>
    <hyperlink ref="K280" r:id="rId366" xr:uid="{00000000-0004-0000-0500-00000C010000}"/>
    <hyperlink ref="K31" r:id="rId367" display="mailto:merle.casci@utoronto.ca" xr:uid="{94DC74FB-97FB-4F62-9877-1CD3366A6EF8}"/>
    <hyperlink ref="K28" r:id="rId368" xr:uid="{9BE57CBE-5397-4410-9DF9-3C81D767F819}"/>
    <hyperlink ref="K99" r:id="rId369" xr:uid="{7D136C0F-1952-45A9-AE10-3F426CD2F026}"/>
  </hyperlinks>
  <pageMargins left="0.7" right="0.7" top="0.75" bottom="0.75" header="0.3" footer="0.3"/>
  <tableParts count="1">
    <tablePart r:id="rId37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1F9D-407D-4DA7-AC4D-6EFC9E3FE940}">
  <sheetPr>
    <tabColor theme="8" tint="-0.499984740745262"/>
  </sheetPr>
  <dimension ref="A1:H145"/>
  <sheetViews>
    <sheetView workbookViewId="0"/>
  </sheetViews>
  <sheetFormatPr defaultRowHeight="15"/>
  <cols>
    <col min="1" max="1" width="17.5703125" bestFit="1" customWidth="1"/>
    <col min="2" max="2" width="8.5703125" bestFit="1" customWidth="1"/>
    <col min="3" max="3" width="36.28515625" bestFit="1" customWidth="1"/>
    <col min="4" max="4" width="8" bestFit="1" customWidth="1"/>
    <col min="5" max="6" width="11.5703125" bestFit="1" customWidth="1"/>
    <col min="7" max="8" width="13.85546875" bestFit="1" customWidth="1"/>
  </cols>
  <sheetData>
    <row r="1" spans="1:8" ht="16.5" thickBot="1">
      <c r="A1" s="269" t="s">
        <v>1428</v>
      </c>
      <c r="B1" s="253"/>
      <c r="C1" s="253"/>
      <c r="D1" s="253"/>
      <c r="E1" s="253"/>
      <c r="F1" s="253"/>
      <c r="G1" s="254" t="s">
        <v>42</v>
      </c>
      <c r="H1" s="254" t="s">
        <v>43</v>
      </c>
    </row>
    <row r="2" spans="1:8" ht="16.5" thickTop="1">
      <c r="A2" s="270">
        <v>502535</v>
      </c>
      <c r="B2" s="83" t="s">
        <v>1429</v>
      </c>
      <c r="C2" s="238" t="s">
        <v>489</v>
      </c>
      <c r="D2" s="83" t="s">
        <v>53</v>
      </c>
      <c r="E2" s="239">
        <v>43922</v>
      </c>
      <c r="F2" s="239">
        <v>44196</v>
      </c>
      <c r="G2" s="255">
        <v>33333</v>
      </c>
      <c r="H2" s="255">
        <v>11109.8889</v>
      </c>
    </row>
    <row r="3" spans="1:8" ht="15.75">
      <c r="A3" s="268" t="s">
        <v>1430</v>
      </c>
      <c r="B3" s="238">
        <v>208217</v>
      </c>
      <c r="C3" s="240" t="s">
        <v>497</v>
      </c>
      <c r="D3" s="240" t="s">
        <v>46</v>
      </c>
      <c r="E3" s="239">
        <v>43556</v>
      </c>
      <c r="F3" s="239">
        <v>44286</v>
      </c>
      <c r="G3" s="256">
        <v>50000</v>
      </c>
      <c r="H3" s="255">
        <v>16665</v>
      </c>
    </row>
    <row r="4" spans="1:8" ht="15.75">
      <c r="A4" s="268" t="s">
        <v>1431</v>
      </c>
      <c r="B4" s="238">
        <v>203820</v>
      </c>
      <c r="C4" s="240" t="s">
        <v>498</v>
      </c>
      <c r="D4" s="240" t="s">
        <v>46</v>
      </c>
      <c r="E4" s="239">
        <v>43556</v>
      </c>
      <c r="F4" s="239">
        <v>44286</v>
      </c>
      <c r="G4" s="256">
        <v>50000</v>
      </c>
      <c r="H4" s="255">
        <v>16665</v>
      </c>
    </row>
    <row r="5" spans="1:8" ht="15.75">
      <c r="A5" s="268" t="s">
        <v>1432</v>
      </c>
      <c r="B5" s="238">
        <v>208620</v>
      </c>
      <c r="C5" s="240" t="s">
        <v>500</v>
      </c>
      <c r="D5" s="240" t="s">
        <v>82</v>
      </c>
      <c r="E5" s="239">
        <v>43556</v>
      </c>
      <c r="F5" s="239">
        <v>44651</v>
      </c>
      <c r="G5" s="256">
        <v>50000</v>
      </c>
      <c r="H5" s="255">
        <v>16665</v>
      </c>
    </row>
    <row r="6" spans="1:8" ht="15.75">
      <c r="A6" s="268" t="s">
        <v>1433</v>
      </c>
      <c r="B6" s="238">
        <v>207233</v>
      </c>
      <c r="C6" s="240" t="s">
        <v>501</v>
      </c>
      <c r="D6" s="240" t="s">
        <v>46</v>
      </c>
      <c r="E6" s="239">
        <v>43556</v>
      </c>
      <c r="F6" s="239">
        <v>44651</v>
      </c>
      <c r="G6" s="256">
        <v>50000</v>
      </c>
      <c r="H6" s="255">
        <v>16665</v>
      </c>
    </row>
    <row r="7" spans="1:8" ht="15.75">
      <c r="A7" s="268">
        <v>505082</v>
      </c>
      <c r="B7" s="85" t="s">
        <v>1434</v>
      </c>
      <c r="C7" s="240" t="s">
        <v>495</v>
      </c>
      <c r="D7" s="91" t="s">
        <v>68</v>
      </c>
      <c r="E7" s="239">
        <v>43191</v>
      </c>
      <c r="F7" s="239">
        <v>44286</v>
      </c>
      <c r="G7" s="256">
        <v>50000</v>
      </c>
      <c r="H7" s="255">
        <v>16665</v>
      </c>
    </row>
    <row r="8" spans="1:8" ht="15.75">
      <c r="A8" s="259"/>
      <c r="B8" s="242"/>
      <c r="C8" s="240"/>
      <c r="E8" s="239"/>
      <c r="F8" s="239"/>
      <c r="G8" s="256"/>
      <c r="H8" s="255"/>
    </row>
    <row r="9" spans="1:8" ht="15.75">
      <c r="A9" s="259" t="s">
        <v>1435</v>
      </c>
      <c r="B9" s="242">
        <v>208406</v>
      </c>
      <c r="C9" s="240" t="s">
        <v>460</v>
      </c>
      <c r="D9" s="91" t="s">
        <v>68</v>
      </c>
      <c r="E9" s="239">
        <v>43556</v>
      </c>
      <c r="F9" s="239">
        <v>44286</v>
      </c>
      <c r="G9" s="256">
        <v>25000</v>
      </c>
      <c r="H9" s="255">
        <v>8332.5</v>
      </c>
    </row>
    <row r="10" spans="1:8" ht="15.75">
      <c r="A10" s="259" t="s">
        <v>1435</v>
      </c>
      <c r="B10" s="242">
        <v>212361</v>
      </c>
      <c r="C10" s="240" t="s">
        <v>461</v>
      </c>
      <c r="D10" s="91" t="s">
        <v>46</v>
      </c>
      <c r="E10" s="239">
        <v>43556</v>
      </c>
      <c r="F10" s="239">
        <v>44286</v>
      </c>
      <c r="G10" s="256">
        <v>75000</v>
      </c>
      <c r="H10" s="255">
        <v>24997.5</v>
      </c>
    </row>
    <row r="11" spans="1:8" ht="15.75">
      <c r="A11" s="259" t="s">
        <v>1436</v>
      </c>
      <c r="B11" s="238">
        <v>205993</v>
      </c>
      <c r="C11" s="240" t="s">
        <v>467</v>
      </c>
      <c r="D11" s="91" t="s">
        <v>46</v>
      </c>
      <c r="E11" s="239">
        <v>43556</v>
      </c>
      <c r="F11" s="239">
        <v>44286</v>
      </c>
      <c r="G11" s="256">
        <v>36000</v>
      </c>
      <c r="H11" s="255">
        <v>11998.8</v>
      </c>
    </row>
    <row r="12" spans="1:8" ht="15.75">
      <c r="A12" s="259" t="s">
        <v>1437</v>
      </c>
      <c r="B12" s="238">
        <v>208379</v>
      </c>
      <c r="C12" s="238" t="s">
        <v>1438</v>
      </c>
      <c r="D12" s="88" t="s">
        <v>46</v>
      </c>
      <c r="E12" s="239">
        <v>43556</v>
      </c>
      <c r="F12" s="239">
        <v>44286</v>
      </c>
      <c r="G12" s="257">
        <v>21000</v>
      </c>
      <c r="H12" s="255">
        <v>6999.2999999999993</v>
      </c>
    </row>
    <row r="13" spans="1:8" ht="15.75">
      <c r="A13" s="259">
        <v>506459</v>
      </c>
      <c r="B13" s="238">
        <v>208617</v>
      </c>
      <c r="C13" s="238" t="s">
        <v>470</v>
      </c>
      <c r="D13" s="83" t="s">
        <v>68</v>
      </c>
      <c r="E13" s="239">
        <v>43556</v>
      </c>
      <c r="F13" s="239">
        <v>44286</v>
      </c>
      <c r="G13" s="256">
        <v>30000</v>
      </c>
      <c r="H13" s="255">
        <v>9999</v>
      </c>
    </row>
    <row r="14" spans="1:8" ht="15.75">
      <c r="A14" s="259">
        <v>506458</v>
      </c>
      <c r="B14" s="83">
        <v>212183</v>
      </c>
      <c r="C14" s="240" t="s">
        <v>465</v>
      </c>
      <c r="D14" s="91" t="s">
        <v>68</v>
      </c>
      <c r="E14" s="239">
        <v>43922</v>
      </c>
      <c r="F14" s="239">
        <v>44286</v>
      </c>
      <c r="G14" s="256">
        <v>71385</v>
      </c>
      <c r="H14" s="255">
        <v>23792.620499999997</v>
      </c>
    </row>
    <row r="15" spans="1:8" ht="15.75">
      <c r="A15" s="259">
        <v>506458</v>
      </c>
      <c r="B15" s="83">
        <v>205547</v>
      </c>
      <c r="C15" s="240" t="s">
        <v>463</v>
      </c>
      <c r="D15" s="91" t="s">
        <v>46</v>
      </c>
      <c r="E15" s="239">
        <v>43923</v>
      </c>
      <c r="F15" s="239">
        <v>44286</v>
      </c>
      <c r="G15" s="256">
        <v>26980</v>
      </c>
      <c r="H15" s="255">
        <v>8992.4339999999993</v>
      </c>
    </row>
    <row r="16" spans="1:8" ht="15.75">
      <c r="A16" s="259"/>
      <c r="B16" s="83"/>
      <c r="C16" s="240"/>
      <c r="E16" s="239"/>
      <c r="F16" s="239"/>
      <c r="G16" s="256"/>
      <c r="H16" s="255"/>
    </row>
    <row r="17" spans="1:8" ht="15.75">
      <c r="A17" s="268" t="s">
        <v>1439</v>
      </c>
      <c r="B17" s="238">
        <v>209346</v>
      </c>
      <c r="C17" s="240" t="s">
        <v>447</v>
      </c>
      <c r="D17" s="91" t="s">
        <v>53</v>
      </c>
      <c r="E17" s="239">
        <v>43282</v>
      </c>
      <c r="F17" s="239">
        <v>44377</v>
      </c>
      <c r="G17" s="256">
        <v>150000</v>
      </c>
      <c r="H17" s="255">
        <v>49995</v>
      </c>
    </row>
    <row r="18" spans="1:8" ht="15.75">
      <c r="A18" s="96" t="s">
        <v>1440</v>
      </c>
      <c r="B18" s="238">
        <v>209403</v>
      </c>
      <c r="C18" s="240" t="s">
        <v>449</v>
      </c>
      <c r="D18" s="91" t="s">
        <v>53</v>
      </c>
      <c r="E18" s="239">
        <v>43313</v>
      </c>
      <c r="F18" s="239">
        <v>44043</v>
      </c>
      <c r="G18" s="256">
        <v>62500</v>
      </c>
      <c r="H18" s="255">
        <v>20831.25</v>
      </c>
    </row>
    <row r="19" spans="1:8" ht="15.75">
      <c r="A19" s="96" t="s">
        <v>1441</v>
      </c>
      <c r="B19" s="90">
        <v>209210</v>
      </c>
      <c r="C19" s="240" t="s">
        <v>446</v>
      </c>
      <c r="D19" s="91" t="s">
        <v>68</v>
      </c>
      <c r="E19" s="239">
        <v>43191</v>
      </c>
      <c r="F19" s="239">
        <v>44165</v>
      </c>
      <c r="G19" s="256">
        <v>87240</v>
      </c>
      <c r="H19" s="255">
        <v>29077.091999999997</v>
      </c>
    </row>
    <row r="20" spans="1:8" ht="15.75">
      <c r="A20" s="96" t="s">
        <v>1442</v>
      </c>
      <c r="B20" s="90">
        <v>209210</v>
      </c>
      <c r="C20" s="240" t="s">
        <v>446</v>
      </c>
      <c r="D20" s="91" t="s">
        <v>68</v>
      </c>
      <c r="E20" s="239">
        <v>43191</v>
      </c>
      <c r="F20" s="239">
        <v>44165</v>
      </c>
      <c r="G20" s="256">
        <v>47500</v>
      </c>
      <c r="H20" s="255">
        <v>15831.75</v>
      </c>
    </row>
    <row r="21" spans="1:8" ht="15.75">
      <c r="A21" s="238"/>
      <c r="C21" s="238"/>
      <c r="F21" s="260"/>
    </row>
    <row r="22" spans="1:8" ht="15.75">
      <c r="A22" s="96" t="s">
        <v>1443</v>
      </c>
      <c r="B22" s="83">
        <v>205554</v>
      </c>
      <c r="C22" s="240" t="s">
        <v>491</v>
      </c>
      <c r="D22" s="240" t="s">
        <v>46</v>
      </c>
      <c r="E22" s="239">
        <v>43221</v>
      </c>
      <c r="F22" s="239">
        <v>44286</v>
      </c>
      <c r="G22" s="256">
        <v>50000</v>
      </c>
      <c r="H22" s="255">
        <v>16665</v>
      </c>
    </row>
    <row r="23" spans="1:8" ht="15.75">
      <c r="A23" s="96" t="s">
        <v>1444</v>
      </c>
      <c r="B23" s="89">
        <v>205839</v>
      </c>
      <c r="C23" s="240" t="s">
        <v>493</v>
      </c>
      <c r="D23" s="240" t="s">
        <v>46</v>
      </c>
      <c r="E23" s="239">
        <v>43191</v>
      </c>
      <c r="F23" s="239">
        <v>44286</v>
      </c>
      <c r="G23" s="256">
        <v>50000</v>
      </c>
      <c r="H23" s="255">
        <v>16665</v>
      </c>
    </row>
    <row r="24" spans="1:8" ht="15.75">
      <c r="A24" s="96" t="s">
        <v>1445</v>
      </c>
      <c r="B24" s="83">
        <v>208617</v>
      </c>
      <c r="C24" s="240" t="s">
        <v>494</v>
      </c>
      <c r="D24" s="240" t="s">
        <v>68</v>
      </c>
      <c r="E24" s="239">
        <v>43221</v>
      </c>
      <c r="F24" s="239">
        <v>44408</v>
      </c>
      <c r="G24" s="256">
        <v>50000</v>
      </c>
      <c r="H24" s="255">
        <v>16665</v>
      </c>
    </row>
    <row r="25" spans="1:8" ht="15.75">
      <c r="A25" s="238">
        <v>499942</v>
      </c>
      <c r="B25" s="238">
        <v>107525</v>
      </c>
      <c r="C25" s="238" t="s">
        <v>344</v>
      </c>
      <c r="D25" s="91" t="s">
        <v>46</v>
      </c>
      <c r="F25" s="260"/>
      <c r="G25" s="257">
        <v>500000</v>
      </c>
      <c r="H25" s="255">
        <v>166650</v>
      </c>
    </row>
    <row r="26" spans="1:8" ht="15.75">
      <c r="A26" s="267"/>
      <c r="C26" s="261"/>
      <c r="E26" s="262"/>
      <c r="F26" s="263"/>
      <c r="G26" s="264"/>
      <c r="H26" s="265"/>
    </row>
    <row r="27" spans="1:8" ht="15.75">
      <c r="A27" s="275">
        <v>509181</v>
      </c>
      <c r="B27" s="83">
        <v>209792</v>
      </c>
      <c r="C27" s="86" t="s">
        <v>451</v>
      </c>
      <c r="D27" s="86" t="s">
        <v>46</v>
      </c>
      <c r="E27" s="266">
        <v>43952</v>
      </c>
      <c r="F27" s="266">
        <v>44805</v>
      </c>
      <c r="G27" s="255">
        <v>608571</v>
      </c>
      <c r="H27" s="255">
        <v>202836.71429999999</v>
      </c>
    </row>
    <row r="28" spans="1:8" ht="15.75">
      <c r="A28" s="275">
        <v>509180</v>
      </c>
      <c r="B28" s="83">
        <v>209792</v>
      </c>
      <c r="C28" s="86" t="s">
        <v>451</v>
      </c>
      <c r="D28" s="86" t="s">
        <v>46</v>
      </c>
      <c r="E28" s="266">
        <v>43952</v>
      </c>
      <c r="F28" s="266">
        <v>44805</v>
      </c>
      <c r="G28" s="257">
        <v>165101</v>
      </c>
      <c r="H28" s="255">
        <v>55028.1633</v>
      </c>
    </row>
    <row r="29" spans="1:8" ht="15.75">
      <c r="A29" s="238"/>
      <c r="E29" s="239"/>
      <c r="H29" s="255"/>
    </row>
    <row r="30" spans="1:8" ht="15.75">
      <c r="A30" s="271">
        <v>509285</v>
      </c>
      <c r="B30" s="83">
        <v>209801</v>
      </c>
      <c r="C30" s="86" t="s">
        <v>504</v>
      </c>
      <c r="D30" s="86" t="s">
        <v>68</v>
      </c>
      <c r="E30" s="266">
        <v>44013</v>
      </c>
      <c r="F30" s="266">
        <v>44377</v>
      </c>
      <c r="G30" s="255">
        <v>75000</v>
      </c>
      <c r="H30" s="255">
        <v>24997.5</v>
      </c>
    </row>
    <row r="31" spans="1:8" ht="15.75">
      <c r="A31" s="271">
        <v>509284</v>
      </c>
      <c r="B31" s="83">
        <v>206595</v>
      </c>
      <c r="C31" s="86" t="s">
        <v>502</v>
      </c>
      <c r="D31" s="86" t="s">
        <v>46</v>
      </c>
      <c r="E31" s="266">
        <v>44013</v>
      </c>
      <c r="F31" s="266">
        <v>44377</v>
      </c>
      <c r="G31" s="255">
        <v>75000</v>
      </c>
      <c r="H31" s="255">
        <v>24997.5</v>
      </c>
    </row>
    <row r="32" spans="1:8" ht="15.75">
      <c r="A32" s="271">
        <v>509588</v>
      </c>
      <c r="B32" s="238">
        <v>208607</v>
      </c>
      <c r="C32" s="86" t="s">
        <v>505</v>
      </c>
      <c r="D32" s="86" t="s">
        <v>53</v>
      </c>
      <c r="E32" s="266">
        <v>44013</v>
      </c>
      <c r="F32" s="266">
        <v>44377</v>
      </c>
      <c r="G32" s="255">
        <v>75000</v>
      </c>
      <c r="H32" s="255">
        <v>24997.5</v>
      </c>
    </row>
    <row r="33" spans="1:8" ht="15.75">
      <c r="A33" s="273">
        <v>509633</v>
      </c>
      <c r="B33" s="83">
        <v>209400</v>
      </c>
      <c r="C33" s="86" t="s">
        <v>471</v>
      </c>
      <c r="D33" s="86" t="s">
        <v>46</v>
      </c>
      <c r="E33" s="201">
        <v>44044</v>
      </c>
      <c r="F33" s="201">
        <v>44408</v>
      </c>
      <c r="G33" s="255">
        <v>100000</v>
      </c>
      <c r="H33" s="255">
        <v>33330</v>
      </c>
    </row>
    <row r="34" spans="1:8" ht="15.75">
      <c r="A34" s="238">
        <v>509653</v>
      </c>
      <c r="B34" s="83">
        <v>209194</v>
      </c>
      <c r="C34" s="86" t="s">
        <v>473</v>
      </c>
      <c r="D34" s="86" t="s">
        <v>46</v>
      </c>
      <c r="E34" s="201">
        <v>44044</v>
      </c>
      <c r="F34" s="201">
        <v>44408</v>
      </c>
      <c r="G34" s="255">
        <v>90000</v>
      </c>
      <c r="H34" s="255">
        <v>29997</v>
      </c>
    </row>
    <row r="35" spans="1:8" ht="15.75">
      <c r="A35" s="238">
        <v>509653</v>
      </c>
      <c r="B35" s="83">
        <v>207233</v>
      </c>
      <c r="C35" s="86" t="s">
        <v>215</v>
      </c>
      <c r="D35" s="86" t="s">
        <v>46</v>
      </c>
      <c r="E35" s="201">
        <v>44044</v>
      </c>
      <c r="F35" s="201">
        <v>44408</v>
      </c>
      <c r="G35" s="255">
        <v>10000</v>
      </c>
      <c r="H35" s="255">
        <v>3333</v>
      </c>
    </row>
    <row r="36" spans="1:8" ht="15.75">
      <c r="A36" s="238">
        <v>508292</v>
      </c>
      <c r="B36" s="238">
        <v>211058</v>
      </c>
      <c r="C36" s="91" t="s">
        <v>338</v>
      </c>
      <c r="D36" s="91" t="s">
        <v>46</v>
      </c>
      <c r="E36" s="272">
        <v>43709</v>
      </c>
      <c r="F36" s="272">
        <v>43901</v>
      </c>
      <c r="G36" s="257">
        <v>18750</v>
      </c>
      <c r="H36" s="257">
        <v>6249.375</v>
      </c>
    </row>
    <row r="37" spans="1:8" ht="15.75">
      <c r="A37" s="271">
        <v>509589</v>
      </c>
      <c r="B37" s="83">
        <v>212183</v>
      </c>
      <c r="C37" s="86" t="s">
        <v>507</v>
      </c>
      <c r="D37" s="86" t="s">
        <v>68</v>
      </c>
      <c r="E37" s="266">
        <v>44075</v>
      </c>
      <c r="F37" s="266">
        <v>44438</v>
      </c>
      <c r="G37" s="255">
        <v>75000</v>
      </c>
      <c r="H37" s="255">
        <v>24997.5</v>
      </c>
    </row>
    <row r="38" spans="1:8" ht="15.75">
      <c r="A38" s="83">
        <v>509667</v>
      </c>
      <c r="B38" s="83">
        <v>209936</v>
      </c>
      <c r="C38" s="86" t="s">
        <v>222</v>
      </c>
      <c r="D38" s="86" t="s">
        <v>68</v>
      </c>
      <c r="E38" s="201">
        <v>44044</v>
      </c>
      <c r="F38" s="201">
        <v>44408</v>
      </c>
      <c r="G38" s="255">
        <v>100000</v>
      </c>
      <c r="H38" s="255">
        <v>33330</v>
      </c>
    </row>
    <row r="39" spans="1:8" ht="15.75">
      <c r="A39" s="238">
        <v>507639</v>
      </c>
      <c r="B39" s="238">
        <v>210174</v>
      </c>
      <c r="C39" s="91" t="s">
        <v>263</v>
      </c>
      <c r="D39" s="91" t="s">
        <v>46</v>
      </c>
      <c r="E39" s="272">
        <v>43709</v>
      </c>
      <c r="F39" s="272">
        <v>44165</v>
      </c>
      <c r="G39" s="257">
        <v>8750</v>
      </c>
      <c r="H39" s="257">
        <v>2916.375</v>
      </c>
    </row>
    <row r="40" spans="1:8" ht="15.75">
      <c r="A40" s="238">
        <v>507639</v>
      </c>
      <c r="B40" s="238">
        <v>212065</v>
      </c>
      <c r="C40" s="91" t="s">
        <v>264</v>
      </c>
      <c r="D40" s="91" t="s">
        <v>46</v>
      </c>
      <c r="E40" s="272">
        <v>43709</v>
      </c>
      <c r="F40" s="272">
        <v>44165</v>
      </c>
      <c r="G40" s="257">
        <v>10000</v>
      </c>
      <c r="H40" s="257">
        <v>3333</v>
      </c>
    </row>
    <row r="41" spans="1:8" ht="15.75">
      <c r="A41" s="83">
        <v>507778</v>
      </c>
      <c r="B41" s="83">
        <v>210089</v>
      </c>
      <c r="C41" s="86" t="s">
        <v>429</v>
      </c>
      <c r="D41" s="244" t="s">
        <v>82</v>
      </c>
      <c r="E41" s="201">
        <v>43709</v>
      </c>
      <c r="F41" s="201">
        <v>44165</v>
      </c>
      <c r="G41" s="255">
        <v>26250</v>
      </c>
      <c r="H41" s="255">
        <v>8749.125</v>
      </c>
    </row>
    <row r="42" spans="1:8" ht="15.75">
      <c r="A42" s="83">
        <v>507782</v>
      </c>
      <c r="B42" s="83">
        <v>202616</v>
      </c>
      <c r="C42" s="86" t="s">
        <v>346</v>
      </c>
      <c r="D42" s="86" t="s">
        <v>46</v>
      </c>
      <c r="E42" s="266">
        <v>44075</v>
      </c>
      <c r="F42" s="201">
        <v>44439</v>
      </c>
      <c r="G42" s="255">
        <v>300000</v>
      </c>
      <c r="H42" s="255">
        <v>99990</v>
      </c>
    </row>
    <row r="43" spans="1:8" ht="15.75">
      <c r="A43" s="238">
        <v>507778</v>
      </c>
      <c r="B43" s="238">
        <v>211058</v>
      </c>
      <c r="C43" s="91" t="s">
        <v>433</v>
      </c>
      <c r="D43" s="91" t="s">
        <v>46</v>
      </c>
      <c r="E43" s="201">
        <v>43709</v>
      </c>
      <c r="F43" s="201">
        <v>44165</v>
      </c>
      <c r="G43" s="257">
        <v>11875</v>
      </c>
      <c r="H43" s="257">
        <v>3957.9375</v>
      </c>
    </row>
    <row r="44" spans="1:8" ht="15.75">
      <c r="A44" s="238">
        <v>507778</v>
      </c>
      <c r="B44" s="238">
        <v>210174</v>
      </c>
      <c r="C44" s="91" t="s">
        <v>426</v>
      </c>
      <c r="D44" s="91" t="s">
        <v>46</v>
      </c>
      <c r="E44" s="201">
        <v>43709</v>
      </c>
      <c r="F44" s="201">
        <v>44165</v>
      </c>
      <c r="G44" s="257">
        <v>14250</v>
      </c>
      <c r="H44" s="257">
        <v>4749.5249999999996</v>
      </c>
    </row>
    <row r="45" spans="1:8" ht="15.75">
      <c r="A45" s="273">
        <v>509633</v>
      </c>
      <c r="B45" s="83">
        <v>209400</v>
      </c>
      <c r="C45" s="86" t="s">
        <v>471</v>
      </c>
      <c r="D45" s="86" t="s">
        <v>46</v>
      </c>
      <c r="E45" s="201">
        <v>44044</v>
      </c>
      <c r="F45" s="201">
        <v>44408</v>
      </c>
      <c r="G45" s="255">
        <v>-64100</v>
      </c>
      <c r="H45" s="257">
        <v>-21364.53</v>
      </c>
    </row>
    <row r="46" spans="1:8" ht="15.75">
      <c r="A46" s="238">
        <v>507778</v>
      </c>
      <c r="B46" s="238">
        <v>212343</v>
      </c>
      <c r="C46" s="91" t="s">
        <v>431</v>
      </c>
      <c r="D46" s="91" t="s">
        <v>82</v>
      </c>
      <c r="E46" s="201">
        <v>43709</v>
      </c>
      <c r="F46" s="201">
        <v>44165</v>
      </c>
      <c r="G46" s="257">
        <v>25750</v>
      </c>
      <c r="H46" s="257">
        <v>8582.4750000000004</v>
      </c>
    </row>
    <row r="47" spans="1:8" ht="15.75">
      <c r="A47" s="274">
        <v>509666</v>
      </c>
      <c r="B47" s="83">
        <v>209438</v>
      </c>
      <c r="C47" s="86" t="s">
        <v>474</v>
      </c>
      <c r="D47" s="86" t="s">
        <v>46</v>
      </c>
      <c r="E47" s="201">
        <v>44044</v>
      </c>
      <c r="F47" s="201">
        <v>44408</v>
      </c>
      <c r="G47" s="255">
        <v>44000</v>
      </c>
      <c r="H47" s="255">
        <v>14665.199999999999</v>
      </c>
    </row>
    <row r="48" spans="1:8" ht="15.75">
      <c r="A48" s="274">
        <v>509666</v>
      </c>
      <c r="B48" s="83">
        <v>208810</v>
      </c>
      <c r="C48" s="86" t="s">
        <v>220</v>
      </c>
      <c r="D48" s="86" t="s">
        <v>53</v>
      </c>
      <c r="E48" s="201">
        <v>44044</v>
      </c>
      <c r="F48" s="201">
        <v>44408</v>
      </c>
      <c r="G48" s="255">
        <v>23000</v>
      </c>
      <c r="H48" s="255">
        <v>7665.9</v>
      </c>
    </row>
    <row r="49" spans="1:8" ht="15.75">
      <c r="A49" s="274">
        <v>509666</v>
      </c>
      <c r="B49" s="83">
        <v>208489</v>
      </c>
      <c r="C49" s="86" t="s">
        <v>219</v>
      </c>
      <c r="D49" s="86" t="s">
        <v>68</v>
      </c>
      <c r="E49" s="201">
        <v>44044</v>
      </c>
      <c r="F49" s="201">
        <v>44408</v>
      </c>
      <c r="G49" s="255">
        <v>33000</v>
      </c>
      <c r="H49" s="255">
        <v>10998.9</v>
      </c>
    </row>
    <row r="50" spans="1:8" ht="15.75">
      <c r="A50" s="96">
        <v>509181</v>
      </c>
      <c r="B50" s="83">
        <v>209792</v>
      </c>
      <c r="C50" s="86" t="s">
        <v>451</v>
      </c>
      <c r="D50" s="86" t="s">
        <v>46</v>
      </c>
      <c r="E50" s="201">
        <v>43952</v>
      </c>
      <c r="F50" s="201">
        <v>44805</v>
      </c>
      <c r="G50" s="255">
        <v>-445000</v>
      </c>
      <c r="H50" s="255">
        <v>-148318.5</v>
      </c>
    </row>
    <row r="51" spans="1:8" ht="15.75">
      <c r="A51" s="238">
        <v>509703</v>
      </c>
      <c r="B51" s="83">
        <v>209946</v>
      </c>
      <c r="C51" s="86" t="s">
        <v>479</v>
      </c>
      <c r="D51" s="86" t="s">
        <v>68</v>
      </c>
      <c r="E51" s="201">
        <v>44044</v>
      </c>
      <c r="F51" s="201">
        <v>44408</v>
      </c>
      <c r="G51" s="255">
        <v>80000</v>
      </c>
      <c r="H51" s="255">
        <v>26664</v>
      </c>
    </row>
    <row r="52" spans="1:8" ht="15.75">
      <c r="A52" s="238">
        <v>509703</v>
      </c>
      <c r="B52" s="83">
        <v>200483</v>
      </c>
      <c r="C52" s="86" t="s">
        <v>477</v>
      </c>
      <c r="D52" s="86" t="s">
        <v>68</v>
      </c>
      <c r="E52" s="201">
        <v>44044</v>
      </c>
      <c r="F52" s="201">
        <v>44408</v>
      </c>
      <c r="G52" s="255">
        <v>20000</v>
      </c>
      <c r="H52" s="255">
        <v>6666</v>
      </c>
    </row>
    <row r="53" spans="1:8" ht="15.75">
      <c r="A53" s="238">
        <v>501333</v>
      </c>
      <c r="B53" s="238">
        <v>207444</v>
      </c>
      <c r="C53" s="91" t="s">
        <v>349</v>
      </c>
      <c r="D53" s="91" t="s">
        <v>46</v>
      </c>
      <c r="E53" s="272">
        <v>42614</v>
      </c>
      <c r="F53" s="272">
        <v>44090</v>
      </c>
      <c r="G53" s="257">
        <v>-169.84</v>
      </c>
      <c r="H53" s="257">
        <v>-56.607672000000001</v>
      </c>
    </row>
    <row r="54" spans="1:8" ht="15.75">
      <c r="A54" s="238">
        <v>509882</v>
      </c>
      <c r="B54" s="83">
        <v>211534</v>
      </c>
      <c r="C54" s="86" t="s">
        <v>485</v>
      </c>
      <c r="D54" s="86" t="s">
        <v>68</v>
      </c>
      <c r="E54" s="201">
        <v>44044</v>
      </c>
      <c r="F54" s="201">
        <v>44408</v>
      </c>
      <c r="G54" s="255">
        <v>39365</v>
      </c>
      <c r="H54" s="255">
        <v>13120.354499999999</v>
      </c>
    </row>
    <row r="55" spans="1:8" ht="15.75">
      <c r="A55" s="238">
        <v>509882</v>
      </c>
      <c r="B55" s="83">
        <v>208725</v>
      </c>
      <c r="C55" s="86" t="s">
        <v>483</v>
      </c>
      <c r="D55" s="86" t="s">
        <v>68</v>
      </c>
      <c r="E55" s="201">
        <v>44044</v>
      </c>
      <c r="F55" s="201">
        <v>44408</v>
      </c>
      <c r="G55" s="255">
        <v>41300</v>
      </c>
      <c r="H55" s="255">
        <v>13765.289999999999</v>
      </c>
    </row>
    <row r="56" spans="1:8" ht="15.75">
      <c r="A56" s="238">
        <v>509882</v>
      </c>
      <c r="B56" s="83">
        <v>206244</v>
      </c>
      <c r="C56" s="86" t="s">
        <v>481</v>
      </c>
      <c r="D56" s="86" t="s">
        <v>46</v>
      </c>
      <c r="E56" s="201">
        <v>44044</v>
      </c>
      <c r="F56" s="201">
        <v>44408</v>
      </c>
      <c r="G56" s="255">
        <v>19335</v>
      </c>
      <c r="H56" s="255">
        <v>6444.3554999999997</v>
      </c>
    </row>
    <row r="57" spans="1:8" ht="15.75">
      <c r="A57" s="238">
        <v>501337</v>
      </c>
      <c r="B57" s="238">
        <v>208379</v>
      </c>
      <c r="C57" s="91" t="s">
        <v>351</v>
      </c>
      <c r="D57" s="91" t="s">
        <v>46</v>
      </c>
      <c r="E57" s="272">
        <v>42614</v>
      </c>
      <c r="F57" s="272">
        <v>44106</v>
      </c>
      <c r="G57" s="257">
        <v>-47.3</v>
      </c>
      <c r="H57" s="257">
        <v>-15.765089999999999</v>
      </c>
    </row>
    <row r="58" spans="1:8" ht="15.75">
      <c r="A58" s="238">
        <v>501339</v>
      </c>
      <c r="B58" s="238">
        <v>208379</v>
      </c>
      <c r="C58" s="91" t="s">
        <v>352</v>
      </c>
      <c r="D58" s="91" t="s">
        <v>46</v>
      </c>
      <c r="E58" s="272">
        <v>42614</v>
      </c>
      <c r="F58" s="272">
        <v>44106</v>
      </c>
      <c r="G58" s="257">
        <v>-4.21</v>
      </c>
      <c r="H58" s="257">
        <v>-1.4031929999999999</v>
      </c>
    </row>
    <row r="59" spans="1:8" ht="15.75">
      <c r="A59" s="238">
        <v>509633</v>
      </c>
      <c r="B59" s="238">
        <v>209400</v>
      </c>
      <c r="C59" s="91" t="s">
        <v>471</v>
      </c>
      <c r="D59" s="91" t="s">
        <v>46</v>
      </c>
      <c r="E59" s="272">
        <v>44044</v>
      </c>
      <c r="F59" s="272">
        <v>44408</v>
      </c>
      <c r="G59" s="257">
        <v>64100</v>
      </c>
      <c r="H59" s="257">
        <v>21364.53</v>
      </c>
    </row>
    <row r="60" spans="1:8" ht="15.75">
      <c r="A60" s="238">
        <v>501337</v>
      </c>
      <c r="B60" s="238">
        <v>208379</v>
      </c>
      <c r="C60" s="91" t="s">
        <v>351</v>
      </c>
      <c r="D60" s="91" t="s">
        <v>46</v>
      </c>
      <c r="E60" s="272">
        <v>42614</v>
      </c>
      <c r="F60" s="272">
        <v>44106</v>
      </c>
      <c r="G60" s="257">
        <v>-70.84</v>
      </c>
      <c r="H60" s="257">
        <v>-23.610972</v>
      </c>
    </row>
    <row r="61" spans="1:8" ht="15.75">
      <c r="A61" s="238">
        <v>501339</v>
      </c>
      <c r="B61" s="238">
        <v>208379</v>
      </c>
      <c r="C61" s="91" t="s">
        <v>352</v>
      </c>
      <c r="D61" s="91" t="s">
        <v>46</v>
      </c>
      <c r="E61" s="272">
        <v>42614</v>
      </c>
      <c r="F61" s="272">
        <v>44117</v>
      </c>
      <c r="G61" s="257">
        <v>-338.46</v>
      </c>
      <c r="H61" s="257">
        <v>-112.80871799999998</v>
      </c>
    </row>
    <row r="62" spans="1:8" ht="15.75">
      <c r="A62" s="238">
        <v>511140</v>
      </c>
      <c r="B62" s="238">
        <v>212630</v>
      </c>
      <c r="C62" s="91" t="s">
        <v>487</v>
      </c>
      <c r="D62" s="91" t="s">
        <v>46</v>
      </c>
      <c r="E62" s="272">
        <v>44044</v>
      </c>
      <c r="F62" s="272">
        <v>44408</v>
      </c>
      <c r="G62" s="257">
        <v>100000</v>
      </c>
      <c r="H62" s="257">
        <v>33330</v>
      </c>
    </row>
    <row r="63" spans="1:8" ht="15.75">
      <c r="A63" s="238">
        <v>509181</v>
      </c>
      <c r="B63" s="238">
        <v>209792</v>
      </c>
      <c r="C63" s="86" t="s">
        <v>451</v>
      </c>
      <c r="D63" s="86" t="s">
        <v>46</v>
      </c>
      <c r="E63" s="201">
        <v>43952</v>
      </c>
      <c r="F63" s="201">
        <v>44805</v>
      </c>
      <c r="G63" s="257">
        <v>445000</v>
      </c>
      <c r="H63" s="257">
        <v>148318.5</v>
      </c>
    </row>
    <row r="64" spans="1:8" ht="15.75">
      <c r="A64" s="238">
        <v>507637</v>
      </c>
      <c r="B64" s="238">
        <v>208728</v>
      </c>
      <c r="C64" s="91" t="s">
        <v>362</v>
      </c>
      <c r="D64" s="91" t="s">
        <v>53</v>
      </c>
      <c r="E64" s="272">
        <v>43709</v>
      </c>
      <c r="F64" s="272">
        <v>44530</v>
      </c>
      <c r="G64" s="257">
        <v>378100</v>
      </c>
      <c r="H64" s="257">
        <v>126020.73</v>
      </c>
    </row>
    <row r="65" spans="1:8" ht="15.75">
      <c r="A65" s="238">
        <v>507637</v>
      </c>
      <c r="B65" s="238">
        <v>207636</v>
      </c>
      <c r="C65" s="91" t="s">
        <v>359</v>
      </c>
      <c r="D65" s="91" t="s">
        <v>46</v>
      </c>
      <c r="E65" s="272">
        <v>43709</v>
      </c>
      <c r="F65" s="272">
        <v>44530</v>
      </c>
      <c r="G65" s="257">
        <v>85000</v>
      </c>
      <c r="H65" s="257">
        <v>28330.5</v>
      </c>
    </row>
    <row r="66" spans="1:8" ht="15.75">
      <c r="A66" s="238">
        <v>507637</v>
      </c>
      <c r="B66" s="238">
        <v>206014</v>
      </c>
      <c r="C66" s="91" t="s">
        <v>355</v>
      </c>
      <c r="D66" s="91" t="s">
        <v>46</v>
      </c>
      <c r="E66" s="272">
        <v>43709</v>
      </c>
      <c r="F66" s="272">
        <v>44530</v>
      </c>
      <c r="G66" s="255">
        <v>40800</v>
      </c>
      <c r="H66" s="255">
        <v>13598.64</v>
      </c>
    </row>
    <row r="67" spans="1:8" ht="15.75">
      <c r="A67" s="238">
        <v>507637</v>
      </c>
      <c r="B67" s="238">
        <v>211152</v>
      </c>
      <c r="C67" s="91" t="s">
        <v>365</v>
      </c>
      <c r="D67" s="91" t="s">
        <v>46</v>
      </c>
      <c r="E67" s="272">
        <v>43709</v>
      </c>
      <c r="F67" s="272">
        <v>44530</v>
      </c>
      <c r="G67" s="257">
        <v>40800</v>
      </c>
      <c r="H67" s="255">
        <v>13598.64</v>
      </c>
    </row>
    <row r="68" spans="1:8" ht="15.75">
      <c r="A68" s="238">
        <v>507637</v>
      </c>
      <c r="B68" s="238">
        <v>208625</v>
      </c>
      <c r="C68" s="91" t="s">
        <v>367</v>
      </c>
      <c r="D68" s="91" t="s">
        <v>53</v>
      </c>
      <c r="E68" s="272">
        <v>43709</v>
      </c>
      <c r="F68" s="272">
        <v>44530</v>
      </c>
      <c r="G68" s="257">
        <v>63750</v>
      </c>
      <c r="H68" s="257">
        <v>21247.875</v>
      </c>
    </row>
    <row r="69" spans="1:8" ht="15.75">
      <c r="A69" s="238">
        <v>507637</v>
      </c>
      <c r="B69" s="238">
        <v>209491</v>
      </c>
      <c r="C69" s="91" t="s">
        <v>238</v>
      </c>
      <c r="D69" s="86" t="s">
        <v>75</v>
      </c>
      <c r="E69" s="272">
        <v>43709</v>
      </c>
      <c r="F69" s="272">
        <v>44530</v>
      </c>
      <c r="G69" s="257">
        <v>153000</v>
      </c>
      <c r="H69" s="257">
        <v>50994.899999999994</v>
      </c>
    </row>
    <row r="70" spans="1:8" ht="15.75">
      <c r="A70" s="238">
        <v>507637</v>
      </c>
      <c r="B70" s="238">
        <v>212636</v>
      </c>
      <c r="C70" s="91" t="s">
        <v>357</v>
      </c>
      <c r="D70" s="91" t="s">
        <v>53</v>
      </c>
      <c r="E70" s="272">
        <v>43709</v>
      </c>
      <c r="F70" s="272">
        <v>44530</v>
      </c>
      <c r="G70" s="257">
        <v>63750</v>
      </c>
      <c r="H70" s="257">
        <v>21247.875</v>
      </c>
    </row>
    <row r="71" spans="1:8" ht="15.75">
      <c r="A71" s="238">
        <v>507637</v>
      </c>
      <c r="B71" s="238">
        <v>209660</v>
      </c>
      <c r="C71" s="91" t="s">
        <v>361</v>
      </c>
      <c r="D71" s="91" t="s">
        <v>68</v>
      </c>
      <c r="E71" s="272">
        <v>43709</v>
      </c>
      <c r="F71" s="272">
        <v>44530</v>
      </c>
      <c r="G71" s="257">
        <v>74800</v>
      </c>
      <c r="H71" s="257">
        <v>24930.84</v>
      </c>
    </row>
    <row r="72" spans="1:8" ht="15.75">
      <c r="A72" s="238">
        <v>507643</v>
      </c>
      <c r="B72" s="238">
        <v>201921</v>
      </c>
      <c r="C72" s="91" t="s">
        <v>284</v>
      </c>
      <c r="D72" s="91" t="s">
        <v>46</v>
      </c>
      <c r="E72" s="272">
        <v>43709</v>
      </c>
      <c r="F72" s="272">
        <v>44530</v>
      </c>
      <c r="G72" s="257">
        <v>80000</v>
      </c>
      <c r="H72" s="257">
        <v>26664</v>
      </c>
    </row>
    <row r="73" spans="1:8" ht="15.75">
      <c r="A73" s="238">
        <v>507643</v>
      </c>
      <c r="B73" s="238">
        <v>208810</v>
      </c>
      <c r="C73" s="91" t="s">
        <v>399</v>
      </c>
      <c r="D73" s="91" t="s">
        <v>53</v>
      </c>
      <c r="E73" s="272">
        <v>43709</v>
      </c>
      <c r="F73" s="272">
        <v>44530</v>
      </c>
      <c r="G73" s="257">
        <v>100000</v>
      </c>
      <c r="H73" s="257">
        <v>33330</v>
      </c>
    </row>
    <row r="74" spans="1:8" ht="15.75">
      <c r="A74" s="238">
        <v>507643</v>
      </c>
      <c r="B74" s="238">
        <v>211134</v>
      </c>
      <c r="C74" s="91" t="s">
        <v>287</v>
      </c>
      <c r="D74" s="91" t="s">
        <v>46</v>
      </c>
      <c r="E74" s="272">
        <v>43709</v>
      </c>
      <c r="F74" s="272">
        <v>44530</v>
      </c>
      <c r="G74" s="257">
        <v>80000</v>
      </c>
      <c r="H74" s="257">
        <v>26664</v>
      </c>
    </row>
    <row r="75" spans="1:8" ht="15.75">
      <c r="A75" s="238">
        <v>507643</v>
      </c>
      <c r="B75" s="238">
        <v>208489</v>
      </c>
      <c r="C75" s="91" t="s">
        <v>396</v>
      </c>
      <c r="D75" s="91" t="s">
        <v>68</v>
      </c>
      <c r="E75" s="272">
        <v>43709</v>
      </c>
      <c r="F75" s="272">
        <v>44530</v>
      </c>
      <c r="G75" s="257">
        <v>75000</v>
      </c>
      <c r="H75" s="257">
        <v>24997.5</v>
      </c>
    </row>
    <row r="76" spans="1:8" ht="15.75">
      <c r="A76" s="238">
        <v>507693</v>
      </c>
      <c r="B76" s="238">
        <v>201921</v>
      </c>
      <c r="C76" s="91" t="s">
        <v>408</v>
      </c>
      <c r="D76" s="91" t="s">
        <v>46</v>
      </c>
      <c r="E76" s="272">
        <v>43709</v>
      </c>
      <c r="F76" s="272">
        <v>44530</v>
      </c>
      <c r="G76" s="257">
        <v>66900</v>
      </c>
      <c r="H76" s="257">
        <v>22297.77</v>
      </c>
    </row>
    <row r="77" spans="1:8" ht="15.75">
      <c r="A77" s="238">
        <v>507693</v>
      </c>
      <c r="B77" s="238">
        <v>209184</v>
      </c>
      <c r="C77" s="91" t="s">
        <v>412</v>
      </c>
      <c r="D77" s="91" t="s">
        <v>53</v>
      </c>
      <c r="E77" s="272">
        <v>43709</v>
      </c>
      <c r="F77" s="272">
        <v>44530</v>
      </c>
      <c r="G77" s="257">
        <v>108000</v>
      </c>
      <c r="H77" s="257">
        <v>35996.400000000001</v>
      </c>
    </row>
    <row r="78" spans="1:8" ht="15.75">
      <c r="A78" s="238">
        <v>507693</v>
      </c>
      <c r="B78" s="238">
        <v>209766</v>
      </c>
      <c r="C78" s="91" t="s">
        <v>410</v>
      </c>
      <c r="D78" s="91" t="s">
        <v>53</v>
      </c>
      <c r="E78" s="272">
        <v>43709</v>
      </c>
      <c r="F78" s="272">
        <v>44530</v>
      </c>
      <c r="G78" s="257">
        <v>108123</v>
      </c>
      <c r="H78" s="257">
        <v>36037.395899999996</v>
      </c>
    </row>
    <row r="79" spans="1:8" ht="15.75">
      <c r="A79" s="238">
        <v>507693</v>
      </c>
      <c r="B79" s="238">
        <v>206130</v>
      </c>
      <c r="C79" s="91" t="s">
        <v>401</v>
      </c>
      <c r="D79" s="91" t="s">
        <v>46</v>
      </c>
      <c r="E79" s="272">
        <v>43709</v>
      </c>
      <c r="F79" s="272">
        <v>44530</v>
      </c>
      <c r="G79" s="257">
        <v>100350</v>
      </c>
      <c r="H79" s="257">
        <v>33446.654999999999</v>
      </c>
    </row>
    <row r="80" spans="1:8" ht="15.75">
      <c r="A80" s="238">
        <v>507693</v>
      </c>
      <c r="B80" s="238">
        <v>211963</v>
      </c>
      <c r="C80" s="91" t="s">
        <v>404</v>
      </c>
      <c r="D80" s="91" t="s">
        <v>46</v>
      </c>
      <c r="E80" s="272">
        <v>43709</v>
      </c>
      <c r="F80" s="272">
        <v>44530</v>
      </c>
      <c r="G80" s="257">
        <v>33450</v>
      </c>
      <c r="H80" s="257">
        <v>11148.885</v>
      </c>
    </row>
    <row r="81" spans="1:8" ht="15.75">
      <c r="A81" s="238">
        <v>507693</v>
      </c>
      <c r="B81" s="238">
        <v>211063</v>
      </c>
      <c r="C81" s="91" t="s">
        <v>403</v>
      </c>
      <c r="D81" s="91" t="s">
        <v>68</v>
      </c>
      <c r="E81" s="272">
        <v>43709</v>
      </c>
      <c r="F81" s="272">
        <v>44530</v>
      </c>
      <c r="G81" s="257">
        <v>33450</v>
      </c>
      <c r="H81" s="257">
        <v>11148.885</v>
      </c>
    </row>
    <row r="82" spans="1:8" ht="15.75">
      <c r="A82" s="238">
        <v>507693</v>
      </c>
      <c r="B82" s="238">
        <v>212893</v>
      </c>
      <c r="C82" s="91" t="s">
        <v>407</v>
      </c>
      <c r="D82" s="91" t="s">
        <v>53</v>
      </c>
      <c r="E82" s="272">
        <v>43709</v>
      </c>
      <c r="F82" s="272">
        <v>44530</v>
      </c>
      <c r="G82" s="257">
        <v>108000</v>
      </c>
      <c r="H82" s="257">
        <v>35996.400000000001</v>
      </c>
    </row>
    <row r="83" spans="1:8" ht="15.75">
      <c r="A83" s="238">
        <v>507693</v>
      </c>
      <c r="B83" s="238">
        <v>212636</v>
      </c>
      <c r="C83" s="91" t="s">
        <v>405</v>
      </c>
      <c r="D83" s="91" t="s">
        <v>53</v>
      </c>
      <c r="E83" s="272">
        <v>43709</v>
      </c>
      <c r="F83" s="272">
        <v>44530</v>
      </c>
      <c r="G83" s="257">
        <v>108370</v>
      </c>
      <c r="H83" s="257">
        <v>36119.720999999998</v>
      </c>
    </row>
    <row r="84" spans="1:8" ht="15.75">
      <c r="A84" s="238">
        <v>507641</v>
      </c>
      <c r="B84" s="238">
        <v>203173</v>
      </c>
      <c r="C84" s="91" t="s">
        <v>386</v>
      </c>
      <c r="D84" s="91" t="s">
        <v>75</v>
      </c>
      <c r="E84" s="272">
        <v>43709</v>
      </c>
      <c r="F84" s="272">
        <v>44530</v>
      </c>
      <c r="G84" s="257">
        <v>61765</v>
      </c>
      <c r="H84" s="257">
        <v>20586.2745</v>
      </c>
    </row>
    <row r="85" spans="1:8" ht="15.75">
      <c r="A85" s="238">
        <v>507641</v>
      </c>
      <c r="B85" s="238">
        <v>205592</v>
      </c>
      <c r="C85" s="91" t="s">
        <v>390</v>
      </c>
      <c r="D85" s="91" t="s">
        <v>46</v>
      </c>
      <c r="E85" s="272">
        <v>43709</v>
      </c>
      <c r="F85" s="272">
        <v>44530</v>
      </c>
      <c r="G85" s="257">
        <v>32000</v>
      </c>
      <c r="H85" s="257">
        <v>10665.6</v>
      </c>
    </row>
    <row r="86" spans="1:8" ht="15.75">
      <c r="A86" s="238">
        <v>507641</v>
      </c>
      <c r="B86" s="238">
        <v>208934</v>
      </c>
      <c r="C86" s="91" t="s">
        <v>383</v>
      </c>
      <c r="D86" s="91" t="s">
        <v>75</v>
      </c>
      <c r="E86" s="272">
        <v>43709</v>
      </c>
      <c r="F86" s="272">
        <v>44530</v>
      </c>
      <c r="G86" s="257">
        <v>58717</v>
      </c>
      <c r="H86" s="257">
        <v>19570.376099999998</v>
      </c>
    </row>
    <row r="87" spans="1:8" ht="15.75">
      <c r="A87" s="238">
        <v>507641</v>
      </c>
      <c r="B87" s="238">
        <v>203820</v>
      </c>
      <c r="C87" s="91" t="s">
        <v>384</v>
      </c>
      <c r="D87" s="91" t="s">
        <v>46</v>
      </c>
      <c r="E87" s="272">
        <v>43709</v>
      </c>
      <c r="F87" s="272">
        <v>44530</v>
      </c>
      <c r="G87" s="257">
        <v>106595</v>
      </c>
      <c r="H87" s="257">
        <v>35528.113499999999</v>
      </c>
    </row>
    <row r="88" spans="1:8" ht="15.75">
      <c r="A88" s="238">
        <v>507641</v>
      </c>
      <c r="B88" s="238">
        <v>208897</v>
      </c>
      <c r="C88" s="91" t="s">
        <v>388</v>
      </c>
      <c r="D88" s="91" t="s">
        <v>46</v>
      </c>
      <c r="E88" s="272">
        <v>43709</v>
      </c>
      <c r="F88" s="272">
        <v>44530</v>
      </c>
      <c r="G88" s="257">
        <v>73925</v>
      </c>
      <c r="H88" s="257">
        <v>24639.202499999999</v>
      </c>
    </row>
    <row r="89" spans="1:8" ht="15.75">
      <c r="A89" s="238">
        <v>507639</v>
      </c>
      <c r="B89" s="238">
        <v>206595</v>
      </c>
      <c r="C89" s="91" t="s">
        <v>376</v>
      </c>
      <c r="D89" s="91" t="s">
        <v>46</v>
      </c>
      <c r="E89" s="272">
        <v>43709</v>
      </c>
      <c r="F89" s="272">
        <v>44530</v>
      </c>
      <c r="G89" s="257">
        <v>40000</v>
      </c>
      <c r="H89" s="257">
        <v>13332</v>
      </c>
    </row>
    <row r="90" spans="1:8" ht="15.75">
      <c r="A90" s="238">
        <v>507639</v>
      </c>
      <c r="B90" s="238">
        <v>206205</v>
      </c>
      <c r="C90" s="91" t="s">
        <v>266</v>
      </c>
      <c r="D90" s="91" t="s">
        <v>46</v>
      </c>
      <c r="E90" s="272">
        <v>43709</v>
      </c>
      <c r="F90" s="272">
        <v>44530</v>
      </c>
      <c r="G90" s="257">
        <v>240000</v>
      </c>
      <c r="H90" s="257">
        <v>79992</v>
      </c>
    </row>
    <row r="91" spans="1:8" ht="15.75">
      <c r="A91" s="238">
        <v>507639</v>
      </c>
      <c r="B91" s="238">
        <v>210174</v>
      </c>
      <c r="C91" s="91" t="s">
        <v>263</v>
      </c>
      <c r="D91" s="91" t="s">
        <v>46</v>
      </c>
      <c r="E91" s="272">
        <v>43709</v>
      </c>
      <c r="F91" s="272">
        <v>44530</v>
      </c>
      <c r="G91" s="257">
        <v>80000</v>
      </c>
      <c r="H91" s="257">
        <v>26664</v>
      </c>
    </row>
    <row r="92" spans="1:8" ht="15.75">
      <c r="A92" s="238">
        <v>507639</v>
      </c>
      <c r="B92" s="238">
        <v>212361</v>
      </c>
      <c r="C92" s="91" t="s">
        <v>269</v>
      </c>
      <c r="D92" s="91" t="s">
        <v>46</v>
      </c>
      <c r="E92" s="272">
        <v>43709</v>
      </c>
      <c r="F92" s="272">
        <v>44530</v>
      </c>
      <c r="G92" s="257">
        <v>240000</v>
      </c>
      <c r="H92" s="257">
        <v>79992</v>
      </c>
    </row>
    <row r="93" spans="1:8" ht="15.75">
      <c r="A93" s="238">
        <v>507639</v>
      </c>
      <c r="B93" s="238">
        <v>206147</v>
      </c>
      <c r="C93" s="91" t="s">
        <v>261</v>
      </c>
      <c r="D93" s="91" t="s">
        <v>46</v>
      </c>
      <c r="E93" s="272">
        <v>43709</v>
      </c>
      <c r="F93" s="272">
        <v>44530</v>
      </c>
      <c r="G93" s="257">
        <v>240000</v>
      </c>
      <c r="H93" s="257">
        <v>79992</v>
      </c>
    </row>
    <row r="94" spans="1:8" ht="15.75">
      <c r="A94" s="238">
        <v>507639</v>
      </c>
      <c r="B94" s="238">
        <v>208379</v>
      </c>
      <c r="C94" s="91" t="s">
        <v>267</v>
      </c>
      <c r="D94" s="91" t="s">
        <v>46</v>
      </c>
      <c r="E94" s="272">
        <v>43709</v>
      </c>
      <c r="F94" s="272">
        <v>44530</v>
      </c>
      <c r="G94" s="257">
        <v>80000</v>
      </c>
      <c r="H94" s="257">
        <v>26664</v>
      </c>
    </row>
    <row r="95" spans="1:8" ht="15.75">
      <c r="A95" s="238">
        <v>507639</v>
      </c>
      <c r="B95" s="238">
        <v>212065</v>
      </c>
      <c r="C95" s="91" t="s">
        <v>264</v>
      </c>
      <c r="D95" s="91" t="s">
        <v>46</v>
      </c>
      <c r="E95" s="272">
        <v>43709</v>
      </c>
      <c r="F95" s="272">
        <v>44530</v>
      </c>
      <c r="G95" s="257">
        <v>275000</v>
      </c>
      <c r="H95" s="257">
        <v>91657.5</v>
      </c>
    </row>
    <row r="96" spans="1:8" ht="15.75">
      <c r="A96" s="238">
        <v>507778</v>
      </c>
      <c r="B96" s="238">
        <v>207444</v>
      </c>
      <c r="C96" s="91" t="s">
        <v>434</v>
      </c>
      <c r="D96" s="91" t="s">
        <v>46</v>
      </c>
      <c r="E96" s="272">
        <v>43709</v>
      </c>
      <c r="F96" s="272">
        <v>44530</v>
      </c>
      <c r="G96" s="257">
        <v>50000</v>
      </c>
      <c r="H96" s="257">
        <v>16665</v>
      </c>
    </row>
    <row r="97" spans="1:8" ht="15.75">
      <c r="A97" s="238">
        <v>507778</v>
      </c>
      <c r="B97" s="238">
        <v>210174</v>
      </c>
      <c r="C97" s="91" t="s">
        <v>427</v>
      </c>
      <c r="D97" s="91" t="s">
        <v>46</v>
      </c>
      <c r="E97" s="272">
        <v>43709</v>
      </c>
      <c r="F97" s="272">
        <v>44530</v>
      </c>
      <c r="G97" s="257">
        <v>66000</v>
      </c>
      <c r="H97" s="257">
        <v>21997.8</v>
      </c>
    </row>
    <row r="98" spans="1:8" ht="15.75">
      <c r="A98" s="238">
        <v>507778</v>
      </c>
      <c r="B98" s="238">
        <v>211058</v>
      </c>
      <c r="C98" s="91" t="s">
        <v>433</v>
      </c>
      <c r="D98" s="91" t="s">
        <v>46</v>
      </c>
      <c r="E98" s="272">
        <v>43709</v>
      </c>
      <c r="F98" s="272">
        <v>44530</v>
      </c>
      <c r="G98" s="257">
        <v>76000</v>
      </c>
      <c r="H98" s="257">
        <v>25330.799999999999</v>
      </c>
    </row>
    <row r="99" spans="1:8" ht="15.75">
      <c r="A99" s="238">
        <v>507778</v>
      </c>
      <c r="B99" s="238">
        <v>210089</v>
      </c>
      <c r="C99" s="91" t="s">
        <v>429</v>
      </c>
      <c r="D99" s="91" t="s">
        <v>82</v>
      </c>
      <c r="E99" s="272">
        <v>43709</v>
      </c>
      <c r="F99" s="272">
        <v>44530</v>
      </c>
      <c r="G99" s="257">
        <v>169000</v>
      </c>
      <c r="H99" s="257">
        <v>56327.7</v>
      </c>
    </row>
    <row r="100" spans="1:8" ht="15.75">
      <c r="A100" s="238">
        <v>507778</v>
      </c>
      <c r="B100" s="238">
        <v>212343</v>
      </c>
      <c r="C100" s="91" t="s">
        <v>431</v>
      </c>
      <c r="D100" s="91" t="s">
        <v>82</v>
      </c>
      <c r="E100" s="272">
        <v>43709</v>
      </c>
      <c r="F100" s="272">
        <v>44530</v>
      </c>
      <c r="G100" s="257">
        <v>139000</v>
      </c>
      <c r="H100" s="257">
        <v>46328.7</v>
      </c>
    </row>
    <row r="101" spans="1:8" ht="15.75">
      <c r="A101" s="238">
        <v>507638</v>
      </c>
      <c r="B101" s="238">
        <v>206595</v>
      </c>
      <c r="C101" s="91" t="s">
        <v>253</v>
      </c>
      <c r="D101" s="91" t="s">
        <v>46</v>
      </c>
      <c r="E101" s="272">
        <v>43709</v>
      </c>
      <c r="F101" s="272">
        <v>44530</v>
      </c>
      <c r="G101" s="257">
        <v>133750</v>
      </c>
      <c r="H101" s="257">
        <v>44578.875</v>
      </c>
    </row>
    <row r="102" spans="1:8" ht="15.75">
      <c r="A102" s="238">
        <v>507638</v>
      </c>
      <c r="B102" s="238">
        <v>203770</v>
      </c>
      <c r="C102" s="91" t="s">
        <v>259</v>
      </c>
      <c r="D102" s="83" t="s">
        <v>260</v>
      </c>
      <c r="E102" s="272">
        <v>43709</v>
      </c>
      <c r="F102" s="272">
        <v>44530</v>
      </c>
      <c r="G102" s="257">
        <v>40000</v>
      </c>
      <c r="H102" s="257">
        <v>13332</v>
      </c>
    </row>
    <row r="103" spans="1:8" ht="15.75">
      <c r="A103" s="238">
        <v>507638</v>
      </c>
      <c r="B103" s="238">
        <v>207233</v>
      </c>
      <c r="C103" s="91" t="s">
        <v>248</v>
      </c>
      <c r="D103" s="91" t="s">
        <v>46</v>
      </c>
      <c r="E103" s="272">
        <v>43709</v>
      </c>
      <c r="F103" s="272">
        <v>44530</v>
      </c>
      <c r="G103" s="257">
        <v>133250</v>
      </c>
      <c r="H103" s="257">
        <v>44412.224999999999</v>
      </c>
    </row>
    <row r="104" spans="1:8" ht="15.75">
      <c r="A104" s="238">
        <v>507638</v>
      </c>
      <c r="B104" s="238">
        <v>207444</v>
      </c>
      <c r="C104" s="91" t="s">
        <v>249</v>
      </c>
      <c r="D104" s="91" t="s">
        <v>46</v>
      </c>
      <c r="E104" s="272">
        <v>43709</v>
      </c>
      <c r="F104" s="272">
        <v>44530</v>
      </c>
      <c r="G104" s="257">
        <v>100000</v>
      </c>
      <c r="H104" s="257">
        <v>33330</v>
      </c>
    </row>
    <row r="105" spans="1:8" ht="15.75">
      <c r="A105" s="238">
        <v>507638</v>
      </c>
      <c r="B105" s="238">
        <v>211963</v>
      </c>
      <c r="C105" s="91" t="s">
        <v>247</v>
      </c>
      <c r="D105" s="91" t="s">
        <v>46</v>
      </c>
      <c r="E105" s="272">
        <v>43709</v>
      </c>
      <c r="F105" s="272">
        <v>44530</v>
      </c>
      <c r="G105" s="257">
        <v>133500</v>
      </c>
      <c r="H105" s="257">
        <v>44495.549999999996</v>
      </c>
    </row>
    <row r="106" spans="1:8" ht="15.75">
      <c r="A106" s="238">
        <v>507638</v>
      </c>
      <c r="B106" s="238">
        <v>203820</v>
      </c>
      <c r="C106" s="91" t="s">
        <v>257</v>
      </c>
      <c r="D106" s="91" t="s">
        <v>46</v>
      </c>
      <c r="E106" s="272">
        <v>43709</v>
      </c>
      <c r="F106" s="272">
        <v>44530</v>
      </c>
      <c r="G106" s="257">
        <v>30000</v>
      </c>
      <c r="H106" s="257">
        <v>9999</v>
      </c>
    </row>
    <row r="107" spans="1:8" ht="15.75">
      <c r="A107" s="238">
        <v>507638</v>
      </c>
      <c r="B107" s="238">
        <v>209210</v>
      </c>
      <c r="C107" s="91" t="s">
        <v>252</v>
      </c>
      <c r="D107" s="91" t="s">
        <v>68</v>
      </c>
      <c r="E107" s="272">
        <v>43709</v>
      </c>
      <c r="F107" s="272">
        <v>44530</v>
      </c>
      <c r="G107" s="257">
        <v>62000</v>
      </c>
      <c r="H107" s="257">
        <v>20664.599999999999</v>
      </c>
    </row>
    <row r="108" spans="1:8" ht="15.75">
      <c r="A108" s="238">
        <v>507638</v>
      </c>
      <c r="B108" s="238">
        <v>211256</v>
      </c>
      <c r="C108" s="91" t="s">
        <v>251</v>
      </c>
      <c r="D108" s="91" t="s">
        <v>68</v>
      </c>
      <c r="E108" s="272">
        <v>43709</v>
      </c>
      <c r="F108" s="272">
        <v>44530</v>
      </c>
      <c r="G108" s="257">
        <v>132500</v>
      </c>
      <c r="H108" s="257">
        <v>44162.25</v>
      </c>
    </row>
    <row r="109" spans="1:8" ht="15.75">
      <c r="A109" s="238">
        <v>507638</v>
      </c>
      <c r="B109" s="238">
        <v>212504</v>
      </c>
      <c r="C109" s="91" t="s">
        <v>256</v>
      </c>
      <c r="D109" s="91" t="s">
        <v>68</v>
      </c>
      <c r="E109" s="272">
        <v>43709</v>
      </c>
      <c r="F109" s="272">
        <v>44530</v>
      </c>
      <c r="G109" s="257">
        <v>133500</v>
      </c>
      <c r="H109" s="257">
        <v>44495.549999999996</v>
      </c>
    </row>
    <row r="110" spans="1:8" ht="15.75">
      <c r="A110" s="238">
        <v>507642</v>
      </c>
      <c r="B110" s="238">
        <v>200150</v>
      </c>
      <c r="C110" s="91" t="s">
        <v>278</v>
      </c>
      <c r="D110" s="91" t="s">
        <v>53</v>
      </c>
      <c r="E110" s="272">
        <v>43709</v>
      </c>
      <c r="F110" s="272">
        <v>44530</v>
      </c>
      <c r="G110" s="257">
        <v>85000</v>
      </c>
      <c r="H110" s="257">
        <v>28330.5</v>
      </c>
    </row>
    <row r="111" spans="1:8" ht="15.75">
      <c r="A111" s="238">
        <v>507642</v>
      </c>
      <c r="B111" s="238">
        <v>212714</v>
      </c>
      <c r="C111" s="91" t="s">
        <v>280</v>
      </c>
      <c r="D111" s="91" t="s">
        <v>53</v>
      </c>
      <c r="E111" s="272">
        <v>43709</v>
      </c>
      <c r="F111" s="272">
        <v>44530</v>
      </c>
      <c r="G111" s="257">
        <v>85000</v>
      </c>
      <c r="H111" s="257">
        <v>28330.5</v>
      </c>
    </row>
    <row r="112" spans="1:8" ht="15.75">
      <c r="A112" s="238">
        <v>507642</v>
      </c>
      <c r="B112" s="238">
        <v>208607</v>
      </c>
      <c r="C112" s="91" t="s">
        <v>282</v>
      </c>
      <c r="D112" s="91" t="s">
        <v>53</v>
      </c>
      <c r="E112" s="272">
        <v>43709</v>
      </c>
      <c r="F112" s="272">
        <v>44530</v>
      </c>
      <c r="G112" s="257">
        <v>90000</v>
      </c>
      <c r="H112" s="257">
        <v>29997</v>
      </c>
    </row>
    <row r="113" spans="1:8" ht="15.75">
      <c r="A113" s="238">
        <v>507776</v>
      </c>
      <c r="B113" s="238">
        <v>211963</v>
      </c>
      <c r="C113" s="91" t="s">
        <v>301</v>
      </c>
      <c r="D113" s="91" t="s">
        <v>46</v>
      </c>
      <c r="E113" s="272">
        <v>43709</v>
      </c>
      <c r="F113" s="272">
        <v>44530</v>
      </c>
      <c r="G113" s="257">
        <v>50000</v>
      </c>
      <c r="H113" s="257">
        <v>16665</v>
      </c>
    </row>
    <row r="114" spans="1:8" ht="15.75">
      <c r="A114" s="238">
        <v>507776</v>
      </c>
      <c r="B114" s="238">
        <v>208625</v>
      </c>
      <c r="C114" s="91" t="s">
        <v>307</v>
      </c>
      <c r="D114" s="91" t="s">
        <v>53</v>
      </c>
      <c r="E114" s="272">
        <v>43709</v>
      </c>
      <c r="F114" s="272">
        <v>44530</v>
      </c>
      <c r="G114" s="257">
        <v>83333</v>
      </c>
      <c r="H114" s="257">
        <v>27774.888899999998</v>
      </c>
    </row>
    <row r="115" spans="1:8" ht="15.75">
      <c r="A115" s="238">
        <v>507776</v>
      </c>
      <c r="B115" s="238">
        <v>209711</v>
      </c>
      <c r="C115" s="91" t="s">
        <v>305</v>
      </c>
      <c r="D115" s="91" t="s">
        <v>53</v>
      </c>
      <c r="E115" s="272">
        <v>43709</v>
      </c>
      <c r="F115" s="272">
        <v>44530</v>
      </c>
      <c r="G115" s="257">
        <v>83333</v>
      </c>
      <c r="H115" s="257">
        <v>27774.888899999998</v>
      </c>
    </row>
    <row r="116" spans="1:8" ht="15.75">
      <c r="A116" s="238">
        <v>507776</v>
      </c>
      <c r="B116" s="238">
        <v>209476</v>
      </c>
      <c r="C116" s="91" t="s">
        <v>300</v>
      </c>
      <c r="D116" s="91" t="s">
        <v>46</v>
      </c>
      <c r="E116" s="272">
        <v>43709</v>
      </c>
      <c r="F116" s="272">
        <v>44530</v>
      </c>
      <c r="G116" s="257">
        <v>70000</v>
      </c>
      <c r="H116" s="257">
        <v>23331</v>
      </c>
    </row>
    <row r="117" spans="1:8" ht="15.75">
      <c r="A117" s="238">
        <v>507776</v>
      </c>
      <c r="B117" s="238">
        <v>211377</v>
      </c>
      <c r="C117" s="91" t="s">
        <v>306</v>
      </c>
      <c r="D117" s="91" t="s">
        <v>53</v>
      </c>
      <c r="E117" s="272">
        <v>43709</v>
      </c>
      <c r="F117" s="272">
        <v>44530</v>
      </c>
      <c r="G117" s="257">
        <v>60000</v>
      </c>
      <c r="H117" s="257">
        <v>19998</v>
      </c>
    </row>
    <row r="118" spans="1:8" ht="15.75">
      <c r="A118" s="238">
        <v>507776</v>
      </c>
      <c r="B118" s="238">
        <v>208808</v>
      </c>
      <c r="C118" s="91" t="s">
        <v>309</v>
      </c>
      <c r="D118" s="91" t="s">
        <v>53</v>
      </c>
      <c r="E118" s="272">
        <v>43709</v>
      </c>
      <c r="F118" s="272">
        <v>44530</v>
      </c>
      <c r="G118" s="257">
        <v>70000</v>
      </c>
      <c r="H118" s="257">
        <v>23331</v>
      </c>
    </row>
    <row r="119" spans="1:8" ht="15.75">
      <c r="A119" s="238">
        <v>508292</v>
      </c>
      <c r="B119" s="238">
        <v>211058</v>
      </c>
      <c r="C119" s="91" t="s">
        <v>445</v>
      </c>
      <c r="D119" s="91" t="s">
        <v>46</v>
      </c>
      <c r="E119" s="272">
        <v>43709</v>
      </c>
      <c r="F119" s="272">
        <v>44530</v>
      </c>
      <c r="G119" s="257">
        <v>100000</v>
      </c>
      <c r="H119" s="257">
        <v>33330</v>
      </c>
    </row>
    <row r="120" spans="1:8" ht="15.75">
      <c r="A120" s="238">
        <v>507779</v>
      </c>
      <c r="B120" s="238">
        <v>208750</v>
      </c>
      <c r="C120" s="91" t="s">
        <v>336</v>
      </c>
      <c r="D120" s="91" t="s">
        <v>53</v>
      </c>
      <c r="E120" s="272">
        <v>43709</v>
      </c>
      <c r="F120" s="272">
        <v>44530</v>
      </c>
      <c r="G120" s="257">
        <v>70000</v>
      </c>
      <c r="H120" s="257">
        <v>23331</v>
      </c>
    </row>
    <row r="121" spans="1:8" ht="15.75">
      <c r="A121" s="238">
        <v>507779</v>
      </c>
      <c r="B121" s="238">
        <v>208616</v>
      </c>
      <c r="C121" s="91" t="s">
        <v>334</v>
      </c>
      <c r="D121" s="91" t="s">
        <v>53</v>
      </c>
      <c r="E121" s="272">
        <v>43709</v>
      </c>
      <c r="F121" s="272">
        <v>44530</v>
      </c>
      <c r="G121" s="257">
        <v>80000</v>
      </c>
      <c r="H121" s="257">
        <v>26664</v>
      </c>
    </row>
    <row r="122" spans="1:8" ht="15.75">
      <c r="A122" s="238">
        <v>507779</v>
      </c>
      <c r="B122" s="238">
        <v>200037</v>
      </c>
      <c r="C122" s="91" t="s">
        <v>439</v>
      </c>
      <c r="D122" s="91" t="s">
        <v>75</v>
      </c>
      <c r="E122" s="272">
        <v>43709</v>
      </c>
      <c r="F122" s="272">
        <v>44530</v>
      </c>
      <c r="G122" s="257">
        <v>95000</v>
      </c>
      <c r="H122" s="257">
        <v>31663.5</v>
      </c>
    </row>
    <row r="123" spans="1:8" ht="15.75">
      <c r="A123" s="238">
        <v>507779</v>
      </c>
      <c r="B123" s="238">
        <v>208630</v>
      </c>
      <c r="C123" s="91" t="s">
        <v>329</v>
      </c>
      <c r="D123" s="91" t="s">
        <v>53</v>
      </c>
      <c r="E123" s="272">
        <v>43709</v>
      </c>
      <c r="F123" s="272">
        <v>44530</v>
      </c>
      <c r="G123" s="257">
        <v>75000</v>
      </c>
      <c r="H123" s="257">
        <v>24997.5</v>
      </c>
    </row>
    <row r="124" spans="1:8" ht="15.75">
      <c r="A124" s="238">
        <v>507779</v>
      </c>
      <c r="B124" s="238">
        <v>208631</v>
      </c>
      <c r="C124" s="91" t="s">
        <v>444</v>
      </c>
      <c r="D124" s="91" t="s">
        <v>53</v>
      </c>
      <c r="E124" s="272">
        <v>43709</v>
      </c>
      <c r="F124" s="272">
        <v>44530</v>
      </c>
      <c r="G124" s="257">
        <v>50000</v>
      </c>
      <c r="H124" s="257">
        <v>16665</v>
      </c>
    </row>
    <row r="125" spans="1:8" ht="15.75">
      <c r="A125" s="238">
        <v>507779</v>
      </c>
      <c r="B125" s="238">
        <v>209346</v>
      </c>
      <c r="C125" s="91" t="s">
        <v>327</v>
      </c>
      <c r="D125" s="91" t="s">
        <v>53</v>
      </c>
      <c r="E125" s="272">
        <v>43709</v>
      </c>
      <c r="F125" s="272">
        <v>44530</v>
      </c>
      <c r="G125" s="257">
        <v>80000</v>
      </c>
      <c r="H125" s="257">
        <v>26664</v>
      </c>
    </row>
    <row r="126" spans="1:8" ht="15.75">
      <c r="A126" s="238">
        <v>507779</v>
      </c>
      <c r="B126" s="238">
        <v>208609</v>
      </c>
      <c r="C126" s="91" t="s">
        <v>436</v>
      </c>
      <c r="D126" s="91" t="s">
        <v>82</v>
      </c>
      <c r="E126" s="272">
        <v>43709</v>
      </c>
      <c r="F126" s="272">
        <v>44530</v>
      </c>
      <c r="G126" s="257">
        <v>200000</v>
      </c>
      <c r="H126" s="257">
        <v>66660</v>
      </c>
    </row>
    <row r="127" spans="1:8" ht="15.75">
      <c r="A127" s="238">
        <v>507777</v>
      </c>
      <c r="B127" s="238">
        <v>206121</v>
      </c>
      <c r="C127" s="91" t="s">
        <v>311</v>
      </c>
      <c r="D127" s="91" t="s">
        <v>46</v>
      </c>
      <c r="E127" s="272">
        <v>43709</v>
      </c>
      <c r="F127" s="272">
        <v>44530</v>
      </c>
      <c r="G127" s="257">
        <v>103320</v>
      </c>
      <c r="H127" s="257">
        <v>34436.555999999997</v>
      </c>
    </row>
    <row r="128" spans="1:8" ht="15.75">
      <c r="A128" s="238">
        <v>507777</v>
      </c>
      <c r="B128" s="238">
        <v>206470</v>
      </c>
      <c r="C128" s="91" t="s">
        <v>313</v>
      </c>
      <c r="D128" s="91" t="s">
        <v>46</v>
      </c>
      <c r="E128" s="272">
        <v>43709</v>
      </c>
      <c r="F128" s="272">
        <v>44530</v>
      </c>
      <c r="G128" s="257">
        <v>54000</v>
      </c>
      <c r="H128" s="257">
        <v>17998.2</v>
      </c>
    </row>
    <row r="129" spans="1:8" ht="15.75">
      <c r="A129" s="238">
        <v>507777</v>
      </c>
      <c r="B129" s="238">
        <v>203561</v>
      </c>
      <c r="C129" s="91" t="s">
        <v>318</v>
      </c>
      <c r="D129" s="91" t="s">
        <v>53</v>
      </c>
      <c r="E129" s="272">
        <v>43709</v>
      </c>
      <c r="F129" s="272">
        <v>44530</v>
      </c>
      <c r="G129" s="257">
        <v>89064</v>
      </c>
      <c r="H129" s="257">
        <v>29685.031199999998</v>
      </c>
    </row>
    <row r="130" spans="1:8" ht="15.75">
      <c r="A130" s="238">
        <v>507777</v>
      </c>
      <c r="B130" s="238">
        <v>203628</v>
      </c>
      <c r="C130" s="91" t="s">
        <v>316</v>
      </c>
      <c r="D130" s="91" t="s">
        <v>53</v>
      </c>
      <c r="E130" s="272">
        <v>43709</v>
      </c>
      <c r="F130" s="272">
        <v>44530</v>
      </c>
      <c r="G130" s="257">
        <v>201530</v>
      </c>
      <c r="H130" s="257">
        <v>67169.948999999993</v>
      </c>
    </row>
    <row r="131" spans="1:8" ht="15.75">
      <c r="A131" s="238">
        <v>507777</v>
      </c>
      <c r="B131" s="238">
        <v>208815</v>
      </c>
      <c r="C131" s="91" t="s">
        <v>315</v>
      </c>
      <c r="D131" s="91" t="s">
        <v>53</v>
      </c>
      <c r="E131" s="272">
        <v>43709</v>
      </c>
      <c r="F131" s="272">
        <v>44530</v>
      </c>
      <c r="G131" s="257">
        <v>48240</v>
      </c>
      <c r="H131" s="257">
        <v>16078.392</v>
      </c>
    </row>
    <row r="132" spans="1:8" ht="15.75">
      <c r="A132" s="238">
        <v>507776</v>
      </c>
      <c r="B132" s="238">
        <v>208628</v>
      </c>
      <c r="C132" s="91" t="s">
        <v>417</v>
      </c>
      <c r="D132" s="91" t="s">
        <v>53</v>
      </c>
      <c r="E132" s="272">
        <v>43709</v>
      </c>
      <c r="F132" s="272">
        <v>44530</v>
      </c>
      <c r="G132" s="257">
        <v>83334</v>
      </c>
      <c r="H132" s="257">
        <v>27775.2222</v>
      </c>
    </row>
    <row r="133" spans="1:8" ht="15.75">
      <c r="A133" s="238">
        <v>506456</v>
      </c>
      <c r="B133" s="238">
        <v>209438</v>
      </c>
      <c r="C133" s="91" t="s">
        <v>458</v>
      </c>
      <c r="D133" s="91" t="s">
        <v>46</v>
      </c>
      <c r="E133" s="272">
        <v>43556</v>
      </c>
      <c r="F133" s="272">
        <v>44561</v>
      </c>
      <c r="G133" s="257">
        <v>50000</v>
      </c>
      <c r="H133" s="257">
        <v>16665</v>
      </c>
    </row>
    <row r="134" spans="1:8" ht="15.75">
      <c r="A134" s="238">
        <v>506456</v>
      </c>
      <c r="B134" s="238">
        <v>207032</v>
      </c>
      <c r="C134" s="91" t="s">
        <v>456</v>
      </c>
      <c r="D134" s="91" t="s">
        <v>46</v>
      </c>
      <c r="E134" s="272">
        <v>43556</v>
      </c>
      <c r="F134" s="272">
        <v>44561</v>
      </c>
      <c r="G134" s="257">
        <v>50000</v>
      </c>
      <c r="H134" s="257">
        <v>16665</v>
      </c>
    </row>
    <row r="135" spans="1:8" ht="15.75">
      <c r="A135" s="238">
        <v>511440</v>
      </c>
      <c r="B135" s="238">
        <v>209400</v>
      </c>
      <c r="C135" s="91" t="s">
        <v>179</v>
      </c>
      <c r="D135" s="91" t="s">
        <v>46</v>
      </c>
      <c r="E135" s="272">
        <v>44075</v>
      </c>
      <c r="F135" s="272">
        <v>44439</v>
      </c>
      <c r="G135" s="257">
        <v>12500</v>
      </c>
      <c r="H135" s="257">
        <v>4166.25</v>
      </c>
    </row>
    <row r="136" spans="1:8" ht="15.75">
      <c r="A136" s="238">
        <v>511440</v>
      </c>
      <c r="B136" s="238">
        <v>208728</v>
      </c>
      <c r="C136" s="91" t="s">
        <v>180</v>
      </c>
      <c r="D136" s="91" t="s">
        <v>53</v>
      </c>
      <c r="E136" s="272">
        <v>44075</v>
      </c>
      <c r="F136" s="272">
        <v>44439</v>
      </c>
      <c r="G136" s="257">
        <v>12500</v>
      </c>
      <c r="H136" s="257">
        <v>4166.25</v>
      </c>
    </row>
    <row r="137" spans="1:8" ht="15.75">
      <c r="A137" s="238">
        <v>511777</v>
      </c>
      <c r="B137" s="193">
        <v>213181</v>
      </c>
      <c r="C137" s="91" t="s">
        <v>52</v>
      </c>
      <c r="D137" s="91" t="s">
        <v>53</v>
      </c>
      <c r="E137" s="272">
        <v>44197</v>
      </c>
      <c r="F137" s="272">
        <v>44805</v>
      </c>
      <c r="G137" s="257">
        <v>50000</v>
      </c>
      <c r="H137" s="257">
        <v>16665</v>
      </c>
    </row>
    <row r="138" spans="1:8" ht="15.75">
      <c r="A138" s="238">
        <v>511799</v>
      </c>
      <c r="B138" s="238">
        <v>211377</v>
      </c>
      <c r="C138" s="91" t="s">
        <v>56</v>
      </c>
      <c r="D138" s="91" t="s">
        <v>53</v>
      </c>
      <c r="E138" s="272">
        <v>44013</v>
      </c>
      <c r="F138" s="272">
        <v>44377</v>
      </c>
      <c r="G138" s="257">
        <v>150000</v>
      </c>
      <c r="H138" s="257">
        <v>49995</v>
      </c>
    </row>
    <row r="139" spans="1:8" ht="15.75">
      <c r="A139" s="238">
        <v>500737</v>
      </c>
      <c r="B139" s="238">
        <v>107525</v>
      </c>
      <c r="C139" s="258" t="s">
        <v>345</v>
      </c>
      <c r="D139" s="91" t="s">
        <v>46</v>
      </c>
      <c r="E139" s="272">
        <v>42248</v>
      </c>
      <c r="F139" s="272">
        <v>44651</v>
      </c>
      <c r="G139" s="257">
        <v>200000</v>
      </c>
      <c r="H139" s="257">
        <v>66660</v>
      </c>
    </row>
    <row r="140" spans="1:8" ht="15.75">
      <c r="A140" s="238">
        <v>511941</v>
      </c>
      <c r="B140" s="238">
        <v>213182</v>
      </c>
      <c r="C140" s="91" t="s">
        <v>168</v>
      </c>
      <c r="D140" s="91" t="s">
        <v>53</v>
      </c>
      <c r="E140" s="272">
        <v>44197</v>
      </c>
      <c r="F140" s="272">
        <v>44805</v>
      </c>
      <c r="G140" s="257">
        <v>50000</v>
      </c>
      <c r="H140" s="257">
        <v>16665</v>
      </c>
    </row>
    <row r="141" spans="1:8" ht="15.75">
      <c r="A141" s="238">
        <v>507776</v>
      </c>
      <c r="B141" s="238">
        <v>213194</v>
      </c>
      <c r="C141" s="91" t="s">
        <v>419</v>
      </c>
      <c r="D141" s="91" t="s">
        <v>46</v>
      </c>
      <c r="E141" s="272">
        <v>43709</v>
      </c>
      <c r="F141" s="272">
        <v>44530</v>
      </c>
      <c r="G141" s="256">
        <v>50000</v>
      </c>
      <c r="H141" s="257">
        <v>16665</v>
      </c>
    </row>
    <row r="142" spans="1:8" ht="15.75">
      <c r="A142" s="276">
        <v>512148</v>
      </c>
      <c r="B142" s="238">
        <v>213202</v>
      </c>
      <c r="C142" s="91" t="s">
        <v>74</v>
      </c>
      <c r="D142" s="91" t="s">
        <v>75</v>
      </c>
      <c r="E142" s="272">
        <v>44287</v>
      </c>
      <c r="F142" s="239">
        <v>44805</v>
      </c>
      <c r="G142" s="257">
        <v>30636</v>
      </c>
      <c r="H142" s="257">
        <v>10210.978799999999</v>
      </c>
    </row>
    <row r="143" spans="1:8" ht="15.75">
      <c r="A143" s="277">
        <v>512403</v>
      </c>
      <c r="B143" s="238">
        <v>208807</v>
      </c>
      <c r="C143" s="91" t="s">
        <v>509</v>
      </c>
      <c r="D143" s="91" t="s">
        <v>68</v>
      </c>
      <c r="E143" s="272">
        <v>44013</v>
      </c>
      <c r="F143" s="272">
        <v>44742</v>
      </c>
      <c r="G143" s="257">
        <v>150000</v>
      </c>
      <c r="H143" s="257">
        <v>49995</v>
      </c>
    </row>
    <row r="144" spans="1:8" ht="15.75">
      <c r="A144" s="238">
        <v>507776</v>
      </c>
      <c r="B144" s="238">
        <v>208628</v>
      </c>
      <c r="C144" s="91" t="s">
        <v>417</v>
      </c>
      <c r="D144" s="91" t="s">
        <v>53</v>
      </c>
      <c r="E144" s="272">
        <v>44166</v>
      </c>
      <c r="F144" s="272">
        <v>44166</v>
      </c>
      <c r="G144" s="257">
        <v>-50000</v>
      </c>
      <c r="H144" s="257">
        <v>-16665</v>
      </c>
    </row>
    <row r="145" spans="1:8" ht="15.75">
      <c r="A145" s="238">
        <v>509588</v>
      </c>
      <c r="B145" s="238">
        <v>208607</v>
      </c>
      <c r="C145" s="91" t="s">
        <v>506</v>
      </c>
      <c r="D145" s="91" t="s">
        <v>53</v>
      </c>
      <c r="E145" s="272">
        <v>44013</v>
      </c>
      <c r="F145" s="272">
        <v>44298</v>
      </c>
      <c r="G145" s="257">
        <v>-10024.83</v>
      </c>
      <c r="H145" s="257">
        <v>-3341.2758389999999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AC9D-4A71-425E-AE00-DA715942E176}">
  <sheetPr>
    <tabColor rgb="FFFF0000"/>
  </sheetPr>
  <dimension ref="A1:H16"/>
  <sheetViews>
    <sheetView workbookViewId="0">
      <selection activeCell="E25" sqref="E25"/>
    </sheetView>
  </sheetViews>
  <sheetFormatPr defaultRowHeight="15"/>
  <cols>
    <col min="1" max="1" width="36.5703125" bestFit="1" customWidth="1"/>
    <col min="2" max="2" width="19.140625" bestFit="1" customWidth="1"/>
    <col min="3" max="3" width="13.85546875" bestFit="1" customWidth="1"/>
    <col min="4" max="4" width="36.5703125" bestFit="1" customWidth="1"/>
    <col min="5" max="5" width="13.140625" bestFit="1" customWidth="1"/>
    <col min="6" max="6" width="11.85546875" bestFit="1" customWidth="1"/>
    <col min="7" max="7" width="11.28515625" bestFit="1" customWidth="1"/>
    <col min="8" max="8" width="16.7109375" bestFit="1" customWidth="1"/>
    <col min="9" max="9" width="12.85546875" bestFit="1" customWidth="1"/>
    <col min="10" max="10" width="14.85546875" bestFit="1" customWidth="1"/>
    <col min="11" max="11" width="12.42578125" bestFit="1" customWidth="1"/>
    <col min="12" max="12" width="16" bestFit="1" customWidth="1"/>
    <col min="13" max="13" width="10.42578125" bestFit="1" customWidth="1"/>
    <col min="14" max="14" width="12.5703125" bestFit="1" customWidth="1"/>
    <col min="15" max="15" width="13.42578125" bestFit="1" customWidth="1"/>
    <col min="16" max="16" width="14.140625" bestFit="1" customWidth="1"/>
    <col min="17" max="17" width="11.85546875" bestFit="1" customWidth="1"/>
    <col min="18" max="18" width="13.7109375" bestFit="1" customWidth="1"/>
    <col min="19" max="19" width="13.140625" bestFit="1" customWidth="1"/>
    <col min="20" max="20" width="12.5703125" bestFit="1" customWidth="1"/>
    <col min="21" max="21" width="13.42578125" bestFit="1" customWidth="1"/>
    <col min="22" max="22" width="14.85546875" bestFit="1" customWidth="1"/>
    <col min="23" max="23" width="11.7109375" bestFit="1" customWidth="1"/>
    <col min="24" max="24" width="17.42578125" bestFit="1" customWidth="1"/>
    <col min="25" max="25" width="19.140625" bestFit="1" customWidth="1"/>
    <col min="26" max="26" width="10.85546875" bestFit="1" customWidth="1"/>
    <col min="27" max="27" width="10.140625" bestFit="1" customWidth="1"/>
    <col min="28" max="28" width="12.42578125" bestFit="1" customWidth="1"/>
    <col min="29" max="29" width="13.140625" bestFit="1" customWidth="1"/>
    <col min="30" max="30" width="14.140625" bestFit="1" customWidth="1"/>
    <col min="31" max="31" width="12.140625" bestFit="1" customWidth="1"/>
    <col min="32" max="32" width="13.5703125" bestFit="1" customWidth="1"/>
    <col min="33" max="33" width="9.140625" bestFit="1" customWidth="1"/>
    <col min="34" max="34" width="12.42578125" bestFit="1" customWidth="1"/>
    <col min="35" max="35" width="11.7109375" bestFit="1" customWidth="1"/>
    <col min="36" max="36" width="9.85546875" bestFit="1" customWidth="1"/>
    <col min="38" max="38" width="13.5703125" bestFit="1" customWidth="1"/>
    <col min="39" max="39" width="24" bestFit="1" customWidth="1"/>
    <col min="40" max="40" width="12.140625" bestFit="1" customWidth="1"/>
    <col min="41" max="41" width="11.85546875" bestFit="1" customWidth="1"/>
    <col min="42" max="42" width="11.5703125" bestFit="1" customWidth="1"/>
    <col min="43" max="43" width="11.140625" bestFit="1" customWidth="1"/>
    <col min="44" max="44" width="15.85546875" bestFit="1" customWidth="1"/>
    <col min="45" max="45" width="8.5703125" bestFit="1" customWidth="1"/>
    <col min="46" max="46" width="13.7109375" bestFit="1" customWidth="1"/>
    <col min="47" max="47" width="11.28515625" bestFit="1" customWidth="1"/>
    <col min="48" max="48" width="12.5703125" bestFit="1" customWidth="1"/>
    <col min="49" max="49" width="13.7109375" bestFit="1" customWidth="1"/>
    <col min="50" max="50" width="11.42578125" bestFit="1" customWidth="1"/>
    <col min="51" max="51" width="14" bestFit="1" customWidth="1"/>
    <col min="52" max="52" width="14.7109375" bestFit="1" customWidth="1"/>
    <col min="53" max="53" width="13.85546875" bestFit="1" customWidth="1"/>
    <col min="54" max="54" width="16.140625" bestFit="1" customWidth="1"/>
    <col min="55" max="55" width="13.42578125" bestFit="1" customWidth="1"/>
    <col min="56" max="56" width="12.5703125" bestFit="1" customWidth="1"/>
    <col min="57" max="57" width="13.140625" bestFit="1" customWidth="1"/>
    <col min="58" max="58" width="14.28515625" bestFit="1" customWidth="1"/>
    <col min="59" max="59" width="12.140625" bestFit="1" customWidth="1"/>
    <col min="60" max="60" width="13.28515625" bestFit="1" customWidth="1"/>
    <col min="61" max="61" width="10.28515625" bestFit="1" customWidth="1"/>
    <col min="62" max="62" width="13.28515625" bestFit="1" customWidth="1"/>
    <col min="63" max="63" width="13.42578125" bestFit="1" customWidth="1"/>
    <col min="64" max="64" width="13.5703125" bestFit="1" customWidth="1"/>
    <col min="65" max="65" width="13.42578125" bestFit="1" customWidth="1"/>
    <col min="66" max="66" width="10.42578125" bestFit="1" customWidth="1"/>
    <col min="67" max="67" width="24" bestFit="1" customWidth="1"/>
    <col min="68" max="68" width="14.85546875" bestFit="1" customWidth="1"/>
    <col min="69" max="69" width="12.7109375" bestFit="1" customWidth="1"/>
    <col min="70" max="70" width="11.28515625" bestFit="1" customWidth="1"/>
    <col min="71" max="71" width="15.140625" bestFit="1" customWidth="1"/>
    <col min="72" max="72" width="11.5703125" bestFit="1" customWidth="1"/>
    <col min="73" max="74" width="12.5703125" bestFit="1" customWidth="1"/>
    <col min="75" max="75" width="13.42578125" bestFit="1" customWidth="1"/>
    <col min="76" max="76" width="11.28515625" bestFit="1" customWidth="1"/>
    <col min="77" max="77" width="15.28515625" bestFit="1" customWidth="1"/>
    <col min="78" max="78" width="14.140625" bestFit="1" customWidth="1"/>
    <col min="79" max="79" width="12.85546875" bestFit="1" customWidth="1"/>
    <col min="80" max="80" width="16.42578125" bestFit="1" customWidth="1"/>
    <col min="81" max="81" width="15" bestFit="1" customWidth="1"/>
    <col min="82" max="82" width="15.140625" bestFit="1" customWidth="1"/>
    <col min="83" max="83" width="11.140625" bestFit="1" customWidth="1"/>
    <col min="84" max="84" width="11.42578125" bestFit="1" customWidth="1"/>
    <col min="85" max="85" width="11.85546875" bestFit="1" customWidth="1"/>
    <col min="86" max="86" width="12.5703125" bestFit="1" customWidth="1"/>
    <col min="87" max="87" width="13.7109375" bestFit="1" customWidth="1"/>
    <col min="88" max="88" width="14.28515625" bestFit="1" customWidth="1"/>
    <col min="89" max="89" width="6.42578125" bestFit="1" customWidth="1"/>
    <col min="90" max="90" width="5.85546875" bestFit="1" customWidth="1"/>
    <col min="91" max="91" width="10.7109375" bestFit="1" customWidth="1"/>
  </cols>
  <sheetData>
    <row r="1" spans="1:8">
      <c r="A1" s="198" t="s">
        <v>511</v>
      </c>
      <c r="B1" t="s">
        <v>1446</v>
      </c>
    </row>
    <row r="3" spans="1:8">
      <c r="A3" s="198" t="s">
        <v>36</v>
      </c>
      <c r="B3" t="s">
        <v>162</v>
      </c>
      <c r="D3" s="198" t="s">
        <v>36</v>
      </c>
      <c r="E3" t="s">
        <v>90</v>
      </c>
      <c r="F3" t="s">
        <v>91</v>
      </c>
      <c r="G3" t="s">
        <v>11</v>
      </c>
      <c r="H3" t="s">
        <v>584</v>
      </c>
    </row>
    <row r="4" spans="1:8">
      <c r="A4" s="199" t="s">
        <v>341</v>
      </c>
      <c r="B4">
        <v>2</v>
      </c>
      <c r="D4" s="199" t="s">
        <v>341</v>
      </c>
      <c r="E4">
        <v>25000</v>
      </c>
      <c r="F4">
        <v>8332.5</v>
      </c>
      <c r="G4">
        <f>GETPIVOTDATA("Sum of Budget",$D$3,"Program Name","Engineering-Medicine/Hospital - EMHSeed")+GETPIVOTDATA("Sum of OH",$D$3,"Program Name","Engineering-Medicine/Hospital - EMHSeed")</f>
        <v>33332.5</v>
      </c>
    </row>
    <row r="5" spans="1:8">
      <c r="A5" s="199" t="s">
        <v>6</v>
      </c>
      <c r="B5">
        <v>3</v>
      </c>
      <c r="D5" s="199" t="s">
        <v>6</v>
      </c>
      <c r="E5">
        <v>1000000</v>
      </c>
      <c r="F5">
        <v>333300</v>
      </c>
      <c r="G5">
        <f>GETPIVOTDATA("Sum of Budget",$D$3,"Program Name","MbD Operations &amp; Outreach")+GETPIVOTDATA("Sum of OH",$D$3,"Program Name","MbD Operations &amp; Outreach")</f>
        <v>1333300</v>
      </c>
    </row>
    <row r="6" spans="1:8">
      <c r="A6" s="199" t="s">
        <v>347</v>
      </c>
      <c r="B6">
        <v>3</v>
      </c>
      <c r="D6" s="199" t="s">
        <v>347</v>
      </c>
      <c r="E6">
        <v>-630.65</v>
      </c>
      <c r="F6">
        <v>-210.19564499999998</v>
      </c>
      <c r="G6">
        <f>GETPIVOTDATA("Sum of Budget",$D$3,"Program Name","MbD Team Project Award (""Cycle 1"")")+GETPIVOTDATA("Sum of OH",$D$3,"Program Name","MbD Team Project Award (""Cycle 1"")")</f>
        <v>-840.84564499999999</v>
      </c>
      <c r="H6" t="s">
        <v>1447</v>
      </c>
    </row>
    <row r="7" spans="1:8">
      <c r="A7" s="199" t="s">
        <v>353</v>
      </c>
      <c r="B7">
        <v>70</v>
      </c>
      <c r="D7" s="199" t="s">
        <v>353</v>
      </c>
      <c r="E7">
        <v>6949924</v>
      </c>
      <c r="F7">
        <v>2316409.6691999994</v>
      </c>
      <c r="G7">
        <f>GETPIVOTDATA("Sum of Budget",$D$3,"Program Name","MbD Team Project Award (""Cycle 2"")")+GETPIVOTDATA("Sum of OH",$D$3,"Program Name","MbD Team Project Award (""Cycle 2"")")</f>
        <v>9266333.6691999994</v>
      </c>
      <c r="H7" t="s">
        <v>1448</v>
      </c>
    </row>
    <row r="8" spans="1:8">
      <c r="A8" s="199" t="s">
        <v>8</v>
      </c>
      <c r="B8">
        <v>9</v>
      </c>
      <c r="D8" s="199" t="s">
        <v>8</v>
      </c>
      <c r="E8">
        <v>1251548</v>
      </c>
      <c r="F8">
        <v>417140.94839999999</v>
      </c>
      <c r="G8">
        <f>GETPIVOTDATA("Sum of Budget",$D$3,"Program Name","New Hire Faculty Support")+GETPIVOTDATA("Sum of OH",$D$3,"Program Name","New Hire Faculty Support")</f>
        <v>1668688.9484000001</v>
      </c>
      <c r="H8" t="s">
        <v>1448</v>
      </c>
    </row>
    <row r="9" spans="1:8">
      <c r="A9" s="199" t="s">
        <v>19</v>
      </c>
      <c r="B9">
        <v>22</v>
      </c>
      <c r="D9" s="199" t="s">
        <v>19</v>
      </c>
      <c r="E9">
        <v>1085365</v>
      </c>
      <c r="F9">
        <v>361752.1545</v>
      </c>
      <c r="G9">
        <f>GETPIVOTDATA("Sum of Budget",$D$3,"Program Name","New Ideas")+GETPIVOTDATA("Sum of OH",$D$3,"Program Name","New Ideas")</f>
        <v>1447117.1544999999</v>
      </c>
      <c r="H9" t="s">
        <v>1448</v>
      </c>
    </row>
    <row r="10" spans="1:8">
      <c r="A10" s="199" t="s">
        <v>488</v>
      </c>
      <c r="B10">
        <v>13</v>
      </c>
      <c r="D10" s="199" t="s">
        <v>488</v>
      </c>
      <c r="E10">
        <v>723308.17</v>
      </c>
      <c r="F10">
        <v>241078.61306099998</v>
      </c>
      <c r="G10">
        <f>GETPIVOTDATA("Sum of Budget",$D$3,"Program Name","Postdoctoral Fellowship ")+GETPIVOTDATA("Sum of OH",$D$3,"Program Name","Postdoctoral Fellowship ")</f>
        <v>964386.78306100005</v>
      </c>
      <c r="H10" t="s">
        <v>1448</v>
      </c>
    </row>
    <row r="11" spans="1:8">
      <c r="A11" s="199" t="s">
        <v>10</v>
      </c>
      <c r="B11">
        <v>2</v>
      </c>
      <c r="D11" s="199" t="s">
        <v>10</v>
      </c>
      <c r="E11">
        <v>300000</v>
      </c>
      <c r="F11">
        <v>99990</v>
      </c>
      <c r="G11">
        <f>GETPIVOTDATA("Sum of Budget",$D$3,"Program Name","Special Projects")+GETPIVOTDATA("Sum of OH",$D$3,"Program Name","Special Projects")</f>
        <v>399990</v>
      </c>
    </row>
    <row r="12" spans="1:8">
      <c r="A12" s="199" t="s">
        <v>105</v>
      </c>
      <c r="B12">
        <v>124</v>
      </c>
      <c r="D12" s="199" t="s">
        <v>105</v>
      </c>
      <c r="E12">
        <v>11334514.52</v>
      </c>
      <c r="F12">
        <v>3777793.689516</v>
      </c>
      <c r="G12">
        <f>GETPIVOTDATA("Sum of Budget",$D$3)+GETPIVOTDATA("Sum of OH",$D$3)</f>
        <v>15112308.209516</v>
      </c>
    </row>
    <row r="13" spans="1:8">
      <c r="A13" s="199" t="s">
        <v>1449</v>
      </c>
      <c r="B13">
        <v>2</v>
      </c>
    </row>
    <row r="14" spans="1:8">
      <c r="A14" s="199" t="s">
        <v>6</v>
      </c>
      <c r="B14">
        <v>3</v>
      </c>
    </row>
    <row r="15" spans="1:8">
      <c r="A15" s="199" t="s">
        <v>347</v>
      </c>
      <c r="B15">
        <v>3</v>
      </c>
    </row>
    <row r="16" spans="1:8">
      <c r="A16" s="199" t="s">
        <v>1450</v>
      </c>
      <c r="B16">
        <f>GETPIVOTDATA("PI Full Name",$A$3)-B13-B14-B15</f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21ae269f-93ac-4658-a01e-0d9e1e9e452c" xsi:nil="true"/>
    <lcf76f155ced4ddcb4097134ff3c332f xmlns="21ae269f-93ac-4658-a01e-0d9e1e9e452c">
      <Terms xmlns="http://schemas.microsoft.com/office/infopath/2007/PartnerControls"/>
    </lcf76f155ced4ddcb4097134ff3c332f>
    <TaxCatchAll xmlns="15087473-fe31-418c-9e91-47d9b4d2a980" xsi:nil="true"/>
    <NumberofFiles xmlns="21ae269f-93ac-4658-a01e-0d9e1e9e45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14B6BD329B94FB5540E66DDACEE7B" ma:contentTypeVersion="16" ma:contentTypeDescription="Create a new document." ma:contentTypeScope="" ma:versionID="b75392b6a7387398c74158cb9fcf7341">
  <xsd:schema xmlns:xsd="http://www.w3.org/2001/XMLSchema" xmlns:xs="http://www.w3.org/2001/XMLSchema" xmlns:p="http://schemas.microsoft.com/office/2006/metadata/properties" xmlns:ns2="21ae269f-93ac-4658-a01e-0d9e1e9e452c" xmlns:ns3="15087473-fe31-418c-9e91-47d9b4d2a980" targetNamespace="http://schemas.microsoft.com/office/2006/metadata/properties" ma:root="true" ma:fieldsID="72f310e526bb90c4b9a04559933c8109" ns2:_="" ns3:_="">
    <xsd:import namespace="21ae269f-93ac-4658-a01e-0d9e1e9e452c"/>
    <xsd:import namespace="15087473-fe31-418c-9e91-47d9b4d2a9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  <xsd:element ref="ns2:NumberofFil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e269f-93ac-4658-a01e-0d9e1e9e4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164b29-4069-4387-b6aa-f01f2a1f4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20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NumberofFiles" ma:index="21" nillable="true" ma:displayName="Number of Files" ma:format="Dropdown" ma:internalName="NumberofFiles" ma:percentage="FALSE">
      <xsd:simpleType>
        <xsd:restriction base="dms:Number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473-fe31-418c-9e91-47d9b4d2a9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849533d-e55f-4cc9-af51-45fdf82b88fc}" ma:internalName="TaxCatchAll" ma:showField="CatchAllData" ma:web="15087473-fe31-418c-9e91-47d9b4d2a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602224-6EA2-44B4-B1B3-C83C5AAE4772}"/>
</file>

<file path=customXml/itemProps2.xml><?xml version="1.0" encoding="utf-8"?>
<ds:datastoreItem xmlns:ds="http://schemas.openxmlformats.org/officeDocument/2006/customXml" ds:itemID="{E792781E-A8CF-4B13-9352-DF24E3900751}"/>
</file>

<file path=customXml/itemProps3.xml><?xml version="1.0" encoding="utf-8"?>
<ds:datastoreItem xmlns:ds="http://schemas.openxmlformats.org/officeDocument/2006/customXml" ds:itemID="{04079DD9-F8CF-4419-B5BD-A151D1ECA4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Toronto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Assisi</dc:creator>
  <cp:keywords/>
  <dc:description/>
  <cp:lastModifiedBy>Francesca Assisi</cp:lastModifiedBy>
  <cp:revision/>
  <dcterms:created xsi:type="dcterms:W3CDTF">2019-02-01T17:57:13Z</dcterms:created>
  <dcterms:modified xsi:type="dcterms:W3CDTF">2024-02-06T19:24:06Z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0x01010012014B6BD329B94FB5540E66DDACEE7B</vt:lpwstr>
  </property>
  <property fmtid="{D5CDD505-2E9C-101B-9397-08002B2CF9AE}" pid="3" name="Order">
    <vt:r8>4425800</vt:r8>
  </property>
  <property fmtid="{D5CDD505-2E9C-101B-9397-08002B2CF9AE}" pid="4" name="MediaServiceImageTags">
    <vt:lpwstr/>
  </property>
</Properties>
</file>